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data\PINDATA\msoffice\Hudi\UC\"/>
    </mc:Choice>
  </mc:AlternateContent>
  <xr:revisionPtr revIDLastSave="0" documentId="13_ncr:1_{8A45B89A-7460-42E6-8748-5F7A0C38759C}" xr6:coauthVersionLast="47" xr6:coauthVersionMax="47" xr10:uidLastSave="{00000000-0000-0000-0000-000000000000}"/>
  <workbookProtection workbookAlgorithmName="SHA-512" workbookHashValue="3tMsroKm7Oq4f+qwe95N4ZVkvGiGWyuj1fN6sToSn3KmST2/LRx/is2Ce05qDthTExTPmkRdk6VuqI1REQs9AQ==" workbookSaltValue="CgZhIIO34nR055bywXeSdQ==" workbookSpinCount="100000" lockStructure="1"/>
  <bookViews>
    <workbookView xWindow="-120" yWindow="-120" windowWidth="29040" windowHeight="15840" xr2:uid="{00000000-000D-0000-FFFF-FFFF00000000}"/>
  </bookViews>
  <sheets>
    <sheet name="UC-Legac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2" l="1"/>
  <c r="J67" i="2"/>
  <c r="J66" i="2"/>
  <c r="J43" i="2"/>
  <c r="I43" i="2"/>
  <c r="J42" i="2"/>
  <c r="I42" i="2"/>
  <c r="O31" i="2"/>
  <c r="N31" i="2"/>
  <c r="O30" i="2"/>
  <c r="N30" i="2"/>
  <c r="M30" i="2"/>
  <c r="J33" i="2"/>
  <c r="K31" i="2" l="1"/>
  <c r="J31" i="2"/>
  <c r="K30" i="2"/>
  <c r="J30" i="2"/>
  <c r="J63" i="2"/>
  <c r="J62" i="2"/>
  <c r="J61" i="2"/>
  <c r="J55" i="2"/>
  <c r="J57" i="2"/>
  <c r="J56" i="2"/>
  <c r="I51" i="2"/>
  <c r="J21" i="2" l="1"/>
  <c r="C17" i="2"/>
  <c r="C19" i="2" l="1"/>
  <c r="C18" i="2"/>
  <c r="C16" i="2"/>
  <c r="C15" i="2"/>
  <c r="C20" i="2" l="1"/>
  <c r="J16" i="2"/>
  <c r="C38" i="2" l="1"/>
  <c r="J54" i="2"/>
  <c r="J48" i="2" l="1"/>
  <c r="J47" i="2"/>
  <c r="J17" i="2"/>
  <c r="J15" i="2"/>
  <c r="C21" i="2" l="1"/>
  <c r="C22" i="2" s="1"/>
  <c r="C23" i="2" s="1"/>
  <c r="J18" i="2"/>
  <c r="J19" i="2" l="1"/>
  <c r="J20" i="2" s="1"/>
  <c r="J60" i="2" l="1"/>
  <c r="J22" i="2" s="1"/>
  <c r="J23" i="2" s="1"/>
  <c r="J24" i="2" l="1"/>
</calcChain>
</file>

<file path=xl/sharedStrings.xml><?xml version="1.0" encoding="utf-8"?>
<sst xmlns="http://schemas.openxmlformats.org/spreadsheetml/2006/main" count="287" uniqueCount="263">
  <si>
    <t>Single</t>
  </si>
  <si>
    <t>Couple</t>
  </si>
  <si>
    <t>PERSONAL</t>
  </si>
  <si>
    <t>1st</t>
  </si>
  <si>
    <t>2nd+</t>
  </si>
  <si>
    <t>&lt;25</t>
  </si>
  <si>
    <t>25+</t>
  </si>
  <si>
    <t>&lt;Apr17</t>
  </si>
  <si>
    <t>DLA &lt;HR</t>
  </si>
  <si>
    <t>DLA HR</t>
  </si>
  <si>
    <t>Shared</t>
  </si>
  <si>
    <t>LCW</t>
  </si>
  <si>
    <t>LCWRA</t>
  </si>
  <si>
    <t>CHILDCARE</t>
  </si>
  <si>
    <t>WORK ALLOWANCE</t>
  </si>
  <si>
    <t>TARIFF INCOME</t>
  </si>
  <si>
    <t>BENEFIT CAP</t>
  </si>
  <si>
    <t>Couple/Child</t>
  </si>
  <si>
    <t>BC EXEMPTION</t>
  </si>
  <si>
    <t>TAPER</t>
  </si>
  <si>
    <t>CHILDREN</t>
  </si>
  <si>
    <t>CARER</t>
  </si>
  <si>
    <t>Higher</t>
  </si>
  <si>
    <t>Lower</t>
  </si>
  <si>
    <t>Rest of UK</t>
  </si>
  <si>
    <t>1 bed</t>
  </si>
  <si>
    <t>2 bed</t>
  </si>
  <si>
    <t>3 bed</t>
  </si>
  <si>
    <t>4 bed</t>
  </si>
  <si>
    <r>
      <t xml:space="preserve">Per 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250</t>
    </r>
  </si>
  <si>
    <t>Max for 1</t>
  </si>
  <si>
    <t>Max for 2+</t>
  </si>
  <si>
    <t>Single or couple:</t>
  </si>
  <si>
    <t>Are either 25 or over:</t>
  </si>
  <si>
    <t>Total monthly childcare:</t>
  </si>
  <si>
    <t>Monthly rent:</t>
  </si>
  <si>
    <t>Yes</t>
  </si>
  <si>
    <t>Children receiving childcare:</t>
  </si>
  <si>
    <t>Personal:</t>
  </si>
  <si>
    <t>Children:</t>
  </si>
  <si>
    <t>Housing:</t>
  </si>
  <si>
    <t>Childcare:</t>
  </si>
  <si>
    <t>Less:</t>
  </si>
  <si>
    <t>Capital:</t>
  </si>
  <si>
    <t>No</t>
  </si>
  <si>
    <t>Other elements:</t>
  </si>
  <si>
    <t>Benefit cap:</t>
  </si>
  <si>
    <t>Maternity Allowance (weekly):</t>
  </si>
  <si>
    <t>Claiming Child Benefit:</t>
  </si>
  <si>
    <t>Children born before April 2017:</t>
  </si>
  <si>
    <t>Children born after April 2017:</t>
  </si>
  <si>
    <t>CHILD BENEFIT</t>
  </si>
  <si>
    <t>WTC:</t>
  </si>
  <si>
    <t>CTC:</t>
  </si>
  <si>
    <t>CTC</t>
  </si>
  <si>
    <t>WTC</t>
  </si>
  <si>
    <t>SMP (weekly):</t>
  </si>
  <si>
    <t>THRESHOLD</t>
  </si>
  <si>
    <t>CARERS ALLOWANCE</t>
  </si>
  <si>
    <t>Monthly Universal Credit:</t>
  </si>
  <si>
    <t>N/A</t>
  </si>
  <si>
    <t>Extra UC elements:</t>
  </si>
  <si>
    <t>Carer's Allowance:</t>
  </si>
  <si>
    <t>Entitled to WTC:</t>
  </si>
  <si>
    <t>Entitled to 30hr element:</t>
  </si>
  <si>
    <t>Entitled to HB childcare:</t>
  </si>
  <si>
    <t>Entitled to TC childcare:</t>
  </si>
  <si>
    <t>London</t>
  </si>
  <si>
    <t>Ashford</t>
  </si>
  <si>
    <t>Aylesbury</t>
  </si>
  <si>
    <t>Barnsley</t>
  </si>
  <si>
    <t>Barrow-in-Furness</t>
  </si>
  <si>
    <t>Basingstoke</t>
  </si>
  <si>
    <t>Bath</t>
  </si>
  <si>
    <t>Bedford</t>
  </si>
  <si>
    <t>Birmingham</t>
  </si>
  <si>
    <t>Black Country</t>
  </si>
  <si>
    <t>Blackwater Valley</t>
  </si>
  <si>
    <t>Bolton and Bury</t>
  </si>
  <si>
    <t>Bournemouth</t>
  </si>
  <si>
    <t>Bradford &amp; South Dales</t>
  </si>
  <si>
    <t>Brighton and Hove</t>
  </si>
  <si>
    <t>Bristol</t>
  </si>
  <si>
    <t>Bury St Edmunds</t>
  </si>
  <si>
    <t>Cambridge</t>
  </si>
  <si>
    <t>Canterbury</t>
  </si>
  <si>
    <t>Central Greater Manchester</t>
  </si>
  <si>
    <t>Central Lancs</t>
  </si>
  <si>
    <t>Central London</t>
  </si>
  <si>
    <t>Central Norfolk &amp; Norwich</t>
  </si>
  <si>
    <t>Chelmsford</t>
  </si>
  <si>
    <t>Cheltenham</t>
  </si>
  <si>
    <t>Cherwell Valley</t>
  </si>
  <si>
    <t>Chesterfield</t>
  </si>
  <si>
    <t>Chichester</t>
  </si>
  <si>
    <t>Chilterns</t>
  </si>
  <si>
    <t>Colchester</t>
  </si>
  <si>
    <t>Coventry</t>
  </si>
  <si>
    <t>Crawley &amp; Reigate</t>
  </si>
  <si>
    <t>Darlington</t>
  </si>
  <si>
    <t>Derby</t>
  </si>
  <si>
    <t>Doncaster</t>
  </si>
  <si>
    <t>Dover-Shepway</t>
  </si>
  <si>
    <t>Durham</t>
  </si>
  <si>
    <t>East Cheshire</t>
  </si>
  <si>
    <t>East Lancs</t>
  </si>
  <si>
    <t>East Thames Valley</t>
  </si>
  <si>
    <t>Eastbourne</t>
  </si>
  <si>
    <t>Eastern Staffordshire</t>
  </si>
  <si>
    <t>Exeter</t>
  </si>
  <si>
    <t>Fylde Coast</t>
  </si>
  <si>
    <t>Gloucester</t>
  </si>
  <si>
    <t>Grantham &amp; Newark</t>
  </si>
  <si>
    <t>Greater Liverpool</t>
  </si>
  <si>
    <t>Grimsby</t>
  </si>
  <si>
    <t>Guildford</t>
  </si>
  <si>
    <t>Halifax</t>
  </si>
  <si>
    <t>Harlow &amp; Stortford</t>
  </si>
  <si>
    <t>Harrogate</t>
  </si>
  <si>
    <t>Herefordshire</t>
  </si>
  <si>
    <t>High Weald</t>
  </si>
  <si>
    <t>Hull &amp; East Riding</t>
  </si>
  <si>
    <t>Huntingdon</t>
  </si>
  <si>
    <t>Inner East London</t>
  </si>
  <si>
    <t>Inner North London</t>
  </si>
  <si>
    <t>Inner South East London</t>
  </si>
  <si>
    <t>Inner South West London</t>
  </si>
  <si>
    <t>Inner West London</t>
  </si>
  <si>
    <t>Ipswich</t>
  </si>
  <si>
    <t>Isle of Wight</t>
  </si>
  <si>
    <t>Kendal</t>
  </si>
  <si>
    <t>Kernow West</t>
  </si>
  <si>
    <t>Kings Lynn</t>
  </si>
  <si>
    <t>Kirklees</t>
  </si>
  <si>
    <t>Lancaster</t>
  </si>
  <si>
    <t>Leeds</t>
  </si>
  <si>
    <t>Leicester</t>
  </si>
  <si>
    <t>Lincoln</t>
  </si>
  <si>
    <t>Lincolnshire Fens</t>
  </si>
  <si>
    <t>Lowestoft &amp; Great Yarmouth</t>
  </si>
  <si>
    <t>Luton</t>
  </si>
  <si>
    <t>Maidstone</t>
  </si>
  <si>
    <t>Medway &amp; Swale</t>
  </si>
  <si>
    <t>Mendip</t>
  </si>
  <si>
    <t>Mid &amp; East Devon</t>
  </si>
  <si>
    <t>Mid &amp; West Dorset</t>
  </si>
  <si>
    <t>Mid Staffs</t>
  </si>
  <si>
    <t>Milton Keynes</t>
  </si>
  <si>
    <t>Newbury</t>
  </si>
  <si>
    <t>North Cheshire</t>
  </si>
  <si>
    <t>North Cornwall &amp; Devon Borders</t>
  </si>
  <si>
    <t>North Cumbria</t>
  </si>
  <si>
    <t>North Devon</t>
  </si>
  <si>
    <t>North Nottingham</t>
  </si>
  <si>
    <t>North West Kent</t>
  </si>
  <si>
    <t>North West London</t>
  </si>
  <si>
    <t>Northampton</t>
  </si>
  <si>
    <t>Northants Central</t>
  </si>
  <si>
    <t>Northumberland</t>
  </si>
  <si>
    <t>Nottingham</t>
  </si>
  <si>
    <t>Oldham &amp; Rochdale</t>
  </si>
  <si>
    <t>Outer East London</t>
  </si>
  <si>
    <t>Outer North East London</t>
  </si>
  <si>
    <t>Outer North London</t>
  </si>
  <si>
    <t>Outer South East London</t>
  </si>
  <si>
    <t>Outer South London</t>
  </si>
  <si>
    <t>Outer South West London</t>
  </si>
  <si>
    <t>Outer West London</t>
  </si>
  <si>
    <t>Oxford</t>
  </si>
  <si>
    <t>Peaks &amp; Dales</t>
  </si>
  <si>
    <t>Peterborough</t>
  </si>
  <si>
    <t>Plymouth</t>
  </si>
  <si>
    <t>Portsmouth</t>
  </si>
  <si>
    <t>Reading</t>
  </si>
  <si>
    <t>Richmond &amp; Hambleton</t>
  </si>
  <si>
    <t>Rotherham</t>
  </si>
  <si>
    <t>Rugby &amp; East</t>
  </si>
  <si>
    <t>Salisbury</t>
  </si>
  <si>
    <t>Scarborough</t>
  </si>
  <si>
    <t>Scunthorpe</t>
  </si>
  <si>
    <t>Sheffield</t>
  </si>
  <si>
    <t>Shropshire</t>
  </si>
  <si>
    <t>Solihull</t>
  </si>
  <si>
    <t>South Cheshire</t>
  </si>
  <si>
    <t>South Devon</t>
  </si>
  <si>
    <t>South East Herts</t>
  </si>
  <si>
    <t>South West Essex</t>
  </si>
  <si>
    <t>South West Herts</t>
  </si>
  <si>
    <t>Southampton</t>
  </si>
  <si>
    <t>Southend</t>
  </si>
  <si>
    <t>Southern Greater Manchester</t>
  </si>
  <si>
    <t>Southport</t>
  </si>
  <si>
    <t>St Helens</t>
  </si>
  <si>
    <t>Staffordshire North</t>
  </si>
  <si>
    <t>Stevenage &amp; North Herts</t>
  </si>
  <si>
    <t>Sunderland</t>
  </si>
  <si>
    <t>Sussex East</t>
  </si>
  <si>
    <t>Swindon</t>
  </si>
  <si>
    <t>Tameside &amp; Glossop</t>
  </si>
  <si>
    <t>Taunton &amp; West Somerset</t>
  </si>
  <si>
    <t>Teesside</t>
  </si>
  <si>
    <t>Thanet</t>
  </si>
  <si>
    <t>Tyneside</t>
  </si>
  <si>
    <t>Wakefield</t>
  </si>
  <si>
    <t>Walton</t>
  </si>
  <si>
    <t>Warwickshire South</t>
  </si>
  <si>
    <t>West Cheshire</t>
  </si>
  <si>
    <t>West Cumbria</t>
  </si>
  <si>
    <t>West Pennine</t>
  </si>
  <si>
    <t>West Wiltshire</t>
  </si>
  <si>
    <t>Weston-S-Mare</t>
  </si>
  <si>
    <t>Wigan</t>
  </si>
  <si>
    <t>Winchester</t>
  </si>
  <si>
    <t>Wirral</t>
  </si>
  <si>
    <t>Wolds and Coast</t>
  </si>
  <si>
    <t>Worcester North</t>
  </si>
  <si>
    <t>Worcester South</t>
  </si>
  <si>
    <t>Worthing</t>
  </si>
  <si>
    <t>Yeovil</t>
  </si>
  <si>
    <t>York</t>
  </si>
  <si>
    <t>BRMA</t>
  </si>
  <si>
    <t>BRMA:</t>
  </si>
  <si>
    <t>PIP DL:</t>
  </si>
  <si>
    <t>Children on DLA Care HR:</t>
  </si>
  <si>
    <t>Greater London:</t>
  </si>
  <si>
    <t>IT</t>
  </si>
  <si>
    <t>NICs</t>
  </si>
  <si>
    <t>Entitled to UC childcare:</t>
  </si>
  <si>
    <t>Disabled worker (TC):</t>
  </si>
  <si>
    <t>Severely disabled (TC):</t>
  </si>
  <si>
    <t>SDP (HB):</t>
  </si>
  <si>
    <t>Illustrative legacy amount (Monthly):</t>
  </si>
  <si>
    <t>Bedroom entitlement (LHA):</t>
  </si>
  <si>
    <t>Housing restrictions:</t>
  </si>
  <si>
    <t>LHA</t>
  </si>
  <si>
    <t>Gross Monthly earnings (1):</t>
  </si>
  <si>
    <t>Gross Monthly earnings (2):</t>
  </si>
  <si>
    <t>Children on DLA Care LR/MR:</t>
  </si>
  <si>
    <t>Partner1</t>
  </si>
  <si>
    <t>Partner2</t>
  </si>
  <si>
    <t>NET EARNINGS</t>
  </si>
  <si>
    <t>ACTUAL WORK ALLOWANCE</t>
  </si>
  <si>
    <t>ACTUAL RATE:</t>
  </si>
  <si>
    <t>OTHER BENEFITS:</t>
  </si>
  <si>
    <t>BENEFIT CAP (UC)?</t>
  </si>
  <si>
    <t>BENEFIT CAP (LEG)?</t>
  </si>
  <si>
    <t>Maximum HB:</t>
  </si>
  <si>
    <t>Taper:</t>
  </si>
  <si>
    <t>MAIN DISREGARD:</t>
  </si>
  <si>
    <t>EXTRA DISREGARD:</t>
  </si>
  <si>
    <t>CC DISREGARD:</t>
  </si>
  <si>
    <t>CHILDREN:</t>
  </si>
  <si>
    <t>OTHER:</t>
  </si>
  <si>
    <t>HB with a child before May 2016:</t>
  </si>
  <si>
    <t>HB INCOME</t>
  </si>
  <si>
    <t>HB APPLICABLE AMOUNT</t>
  </si>
  <si>
    <t>ACTUAL INCOME:</t>
  </si>
  <si>
    <t>PERSONAL:</t>
  </si>
  <si>
    <t>Carer has earnings (HB):</t>
  </si>
  <si>
    <t>Other monthly net income (excl. CA) (UC):</t>
  </si>
  <si>
    <t>Other monthly net income (excl. CA) (HB):</t>
  </si>
  <si>
    <t>Other monthly gross income (excl. CA) (TC):</t>
  </si>
  <si>
    <t>Other exemption from Benefit Cap: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</si>
</sst>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&quot;£&quot;#,##0"/>
    <numFmt numFmtId="166" formatCode="\(&quot;£&quot;#,##0.00\)"/>
    <numFmt numFmtId="167" formatCode="[$£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hidden="1"/>
    </xf>
    <xf numFmtId="166" fontId="0" fillId="0" borderId="5" xfId="0" applyNumberForma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9" fontId="1" fillId="0" borderId="0" xfId="0" applyNumberFormat="1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0" fontId="1" fillId="0" borderId="0" xfId="0" quotePrefix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1" applyAlignment="1" applyProtection="1">
      <alignment horizontal="center" vertical="center"/>
      <protection hidden="1"/>
    </xf>
    <xf numFmtId="167" fontId="3" fillId="0" borderId="0" xfId="1" applyNumberFormat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9" fontId="0" fillId="2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8"/>
  <sheetViews>
    <sheetView tabSelected="1" workbookViewId="0">
      <selection activeCell="M5" sqref="M5"/>
    </sheetView>
  </sheetViews>
  <sheetFormatPr defaultColWidth="9.140625" defaultRowHeight="15" x14ac:dyDescent="0.25"/>
  <cols>
    <col min="1" max="1" width="33" style="1" customWidth="1"/>
    <col min="2" max="2" width="16.140625" style="1" customWidth="1"/>
    <col min="3" max="3" width="5.5703125" style="1" customWidth="1"/>
    <col min="4" max="5" width="11.42578125" style="1" customWidth="1"/>
    <col min="6" max="6" width="16.7109375" style="1" customWidth="1"/>
    <col min="7" max="7" width="13.5703125" style="1" customWidth="1"/>
    <col min="8" max="8" width="5.5703125" style="1" customWidth="1"/>
    <col min="9" max="9" width="16.42578125" style="1" customWidth="1"/>
    <col min="10" max="10" width="19.5703125" style="1" customWidth="1"/>
    <col min="11" max="11" width="12.140625" style="1" customWidth="1"/>
    <col min="12" max="12" width="3.5703125" style="1" customWidth="1"/>
    <col min="13" max="13" width="9.140625" style="1" customWidth="1"/>
    <col min="14" max="15" width="9.140625" style="1"/>
    <col min="16" max="16" width="9.140625" style="1" customWidth="1"/>
    <col min="17" max="16384" width="9.140625" style="1"/>
  </cols>
  <sheetData>
    <row r="1" spans="1:12" x14ac:dyDescent="0.25">
      <c r="A1" s="24" t="s">
        <v>32</v>
      </c>
      <c r="B1" s="13" t="s">
        <v>1</v>
      </c>
      <c r="D1" s="31" t="s">
        <v>237</v>
      </c>
      <c r="E1" s="31"/>
      <c r="F1" s="31"/>
      <c r="G1" s="13">
        <v>0</v>
      </c>
      <c r="I1" s="31" t="s">
        <v>63</v>
      </c>
      <c r="J1" s="31"/>
      <c r="K1" s="13" t="s">
        <v>36</v>
      </c>
    </row>
    <row r="2" spans="1:12" x14ac:dyDescent="0.25">
      <c r="A2" s="24" t="s">
        <v>33</v>
      </c>
      <c r="B2" s="13" t="s">
        <v>36</v>
      </c>
      <c r="D2" s="31" t="s">
        <v>223</v>
      </c>
      <c r="E2" s="31"/>
      <c r="F2" s="31"/>
      <c r="G2" s="13">
        <v>0</v>
      </c>
      <c r="I2" s="31" t="s">
        <v>64</v>
      </c>
      <c r="J2" s="31"/>
      <c r="K2" s="13" t="s">
        <v>36</v>
      </c>
    </row>
    <row r="3" spans="1:12" x14ac:dyDescent="0.25">
      <c r="A3" s="24" t="s">
        <v>49</v>
      </c>
      <c r="B3" s="13">
        <v>2</v>
      </c>
      <c r="D3" s="31" t="s">
        <v>62</v>
      </c>
      <c r="E3" s="31"/>
      <c r="F3" s="31"/>
      <c r="G3" s="13" t="s">
        <v>60</v>
      </c>
      <c r="I3" s="31" t="s">
        <v>66</v>
      </c>
      <c r="J3" s="31"/>
      <c r="K3" s="13" t="s">
        <v>36</v>
      </c>
    </row>
    <row r="4" spans="1:12" x14ac:dyDescent="0.25">
      <c r="A4" s="24" t="s">
        <v>50</v>
      </c>
      <c r="B4" s="13">
        <v>1</v>
      </c>
      <c r="D4" s="31" t="s">
        <v>61</v>
      </c>
      <c r="E4" s="31"/>
      <c r="F4" s="31"/>
      <c r="G4" s="13" t="s">
        <v>60</v>
      </c>
      <c r="I4" s="31" t="s">
        <v>227</v>
      </c>
      <c r="J4" s="31"/>
      <c r="K4" s="13" t="s">
        <v>36</v>
      </c>
    </row>
    <row r="5" spans="1:12" x14ac:dyDescent="0.25">
      <c r="A5" s="24" t="s">
        <v>233</v>
      </c>
      <c r="B5" s="25" t="s">
        <v>234</v>
      </c>
      <c r="D5" s="31" t="s">
        <v>43</v>
      </c>
      <c r="E5" s="31"/>
      <c r="F5" s="31"/>
      <c r="G5" s="12">
        <v>0</v>
      </c>
      <c r="I5" s="31" t="s">
        <v>65</v>
      </c>
      <c r="J5" s="31"/>
      <c r="K5" s="13" t="s">
        <v>36</v>
      </c>
    </row>
    <row r="6" spans="1:12" x14ac:dyDescent="0.25">
      <c r="A6" s="24" t="s">
        <v>232</v>
      </c>
      <c r="B6" s="13" t="s">
        <v>27</v>
      </c>
      <c r="D6" s="31" t="s">
        <v>56</v>
      </c>
      <c r="E6" s="31"/>
      <c r="F6" s="31"/>
      <c r="G6" s="12">
        <v>0</v>
      </c>
      <c r="I6" s="31" t="s">
        <v>253</v>
      </c>
      <c r="J6" s="31"/>
      <c r="K6" s="13" t="s">
        <v>44</v>
      </c>
    </row>
    <row r="7" spans="1:12" x14ac:dyDescent="0.25">
      <c r="A7" s="24" t="s">
        <v>35</v>
      </c>
      <c r="B7" s="12">
        <v>850</v>
      </c>
      <c r="D7" s="31" t="s">
        <v>47</v>
      </c>
      <c r="E7" s="31"/>
      <c r="F7" s="31"/>
      <c r="G7" s="12">
        <v>0</v>
      </c>
      <c r="I7" s="31" t="s">
        <v>228</v>
      </c>
      <c r="J7" s="31"/>
      <c r="K7" s="13" t="s">
        <v>44</v>
      </c>
    </row>
    <row r="8" spans="1:12" x14ac:dyDescent="0.25">
      <c r="A8" s="24" t="s">
        <v>37</v>
      </c>
      <c r="B8" s="13">
        <v>2</v>
      </c>
      <c r="D8" s="31" t="s">
        <v>259</v>
      </c>
      <c r="E8" s="31"/>
      <c r="F8" s="31"/>
      <c r="G8" s="12">
        <v>0</v>
      </c>
      <c r="I8" s="31" t="s">
        <v>229</v>
      </c>
      <c r="J8" s="31"/>
      <c r="K8" s="13" t="s">
        <v>60</v>
      </c>
    </row>
    <row r="9" spans="1:12" x14ac:dyDescent="0.25">
      <c r="A9" s="24" t="s">
        <v>34</v>
      </c>
      <c r="B9" s="12">
        <v>500</v>
      </c>
      <c r="D9" s="31" t="s">
        <v>260</v>
      </c>
      <c r="E9" s="31"/>
      <c r="F9" s="31"/>
      <c r="G9" s="12">
        <v>0</v>
      </c>
      <c r="I9" s="31" t="s">
        <v>230</v>
      </c>
      <c r="J9" s="31"/>
      <c r="K9" s="13" t="s">
        <v>60</v>
      </c>
    </row>
    <row r="10" spans="1:12" x14ac:dyDescent="0.25">
      <c r="A10" s="24" t="s">
        <v>235</v>
      </c>
      <c r="B10" s="12">
        <v>723</v>
      </c>
      <c r="D10" s="31" t="s">
        <v>261</v>
      </c>
      <c r="E10" s="31"/>
      <c r="F10" s="31"/>
      <c r="G10" s="12">
        <v>0</v>
      </c>
      <c r="I10" s="31" t="s">
        <v>258</v>
      </c>
      <c r="J10" s="31"/>
      <c r="K10" s="13" t="s">
        <v>44</v>
      </c>
    </row>
    <row r="11" spans="1:12" x14ac:dyDescent="0.25">
      <c r="A11" s="24" t="s">
        <v>236</v>
      </c>
      <c r="B11" s="12">
        <v>723</v>
      </c>
      <c r="D11" s="31" t="s">
        <v>48</v>
      </c>
      <c r="E11" s="31"/>
      <c r="F11" s="31"/>
      <c r="G11" s="13" t="s">
        <v>36</v>
      </c>
      <c r="I11" s="31" t="s">
        <v>224</v>
      </c>
      <c r="J11" s="31"/>
      <c r="K11" s="13" t="s">
        <v>44</v>
      </c>
    </row>
    <row r="12" spans="1:12" x14ac:dyDescent="0.25">
      <c r="A12" s="24" t="s">
        <v>262</v>
      </c>
      <c r="B12" s="13" t="s">
        <v>44</v>
      </c>
      <c r="D12" s="31" t="s">
        <v>222</v>
      </c>
      <c r="E12" s="31"/>
      <c r="F12" s="31"/>
      <c r="G12" s="13" t="s">
        <v>60</v>
      </c>
      <c r="I12" s="24" t="s">
        <v>221</v>
      </c>
      <c r="J12" s="34" t="s">
        <v>86</v>
      </c>
      <c r="K12" s="34"/>
    </row>
    <row r="13" spans="1:12" ht="15.75" thickBot="1" x14ac:dyDescent="0.3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B14" s="20"/>
      <c r="C14" s="26"/>
      <c r="D14" s="26"/>
      <c r="E14" s="27"/>
    </row>
    <row r="15" spans="1:12" x14ac:dyDescent="0.25">
      <c r="A15" s="24" t="s">
        <v>59</v>
      </c>
      <c r="B15" s="24" t="s">
        <v>38</v>
      </c>
      <c r="C15" s="32">
        <f>IF(B1="Single",IF(B2="Yes",B31,B30),IF(B2="Yes",C31,C30))</f>
        <v>578.82000000000005</v>
      </c>
      <c r="D15" s="32"/>
      <c r="E15" s="9"/>
      <c r="F15" s="33" t="s">
        <v>231</v>
      </c>
      <c r="G15" s="31"/>
      <c r="H15" s="31"/>
      <c r="I15" s="24" t="s">
        <v>52</v>
      </c>
      <c r="J15" s="20">
        <f>IF(K1="Yes",(M30+IF(OR(B1="Couple",B3+B4&gt;0),N30)+IF(K2="Yes",O30)+IF(K7="Yes",N31)+IF(K8&lt;&gt;"N/A",K8,0)*O31)/12,0)</f>
        <v>464.51500000000004</v>
      </c>
    </row>
    <row r="16" spans="1:12" x14ac:dyDescent="0.25">
      <c r="B16" s="24" t="s">
        <v>39</v>
      </c>
      <c r="C16" s="32">
        <f>MAX(B3,MIN(2,B3+B4))*C34+IF(B3&gt;0,B34-C34,0)+G1*B35+G2*B36</f>
        <v>584.57999999999993</v>
      </c>
      <c r="D16" s="32"/>
      <c r="E16" s="9"/>
      <c r="I16" s="24" t="s">
        <v>41</v>
      </c>
      <c r="J16" s="20">
        <f>IF(AND(K1="Yes",K3="Yes"),MIN(B9*12/52,IF(B8&gt;1,O34,IF(B8=1,N34,0)))*52*O33,0)/12</f>
        <v>350</v>
      </c>
    </row>
    <row r="17" spans="1:15" x14ac:dyDescent="0.25">
      <c r="B17" s="24" t="s">
        <v>40</v>
      </c>
      <c r="C17" s="32">
        <f>IF(B5="LHA",MIN(IF(B7="",0,B7),IFERROR(HLOOKUP(B6,B46:F198,MATCH(J12,A46:A198,0),FALSE),0)),IF(B7="",0,B7)*IF(B5=0.14,0.86,IF(B5=0.25,0.75,1)))</f>
        <v>725</v>
      </c>
      <c r="D17" s="32"/>
      <c r="E17" s="9"/>
      <c r="I17" s="24" t="s">
        <v>53</v>
      </c>
      <c r="J17" s="20">
        <f>(IF(B3&gt;0,J42)+MAX(B3,MIN(2,B3+B4))*I42+G1*I43+G2*J43)/12</f>
        <v>584.68500000000006</v>
      </c>
    </row>
    <row r="18" spans="1:15" x14ac:dyDescent="0.25">
      <c r="B18" s="24" t="s">
        <v>41</v>
      </c>
      <c r="C18" s="32">
        <f>IF(K4="Yes",MIN(B9*G33,IF(B8&gt;1,G35,IF(B8=1,G34,0))),0)</f>
        <v>425</v>
      </c>
      <c r="D18" s="32"/>
      <c r="E18" s="9"/>
      <c r="I18" s="3"/>
      <c r="J18" s="4">
        <f>SUM(J15:J17)</f>
        <v>1399.2000000000003</v>
      </c>
    </row>
    <row r="19" spans="1:15" x14ac:dyDescent="0.25">
      <c r="B19" s="24" t="s">
        <v>45</v>
      </c>
      <c r="C19" s="32">
        <f>IF(LEFT(G4,5)="Carer",G29,0)+IF(RIGHT(G4,2)="*2",G29,IF(RIGHT(G4,3)="LCW",G30,IF(RIGHT(G4,5)="LCWRA",G31,0)))</f>
        <v>0</v>
      </c>
      <c r="D19" s="32"/>
      <c r="E19" s="9"/>
      <c r="I19" s="24" t="s">
        <v>42</v>
      </c>
      <c r="J19" s="6">
        <f>MIN(MAX(0,((B10+B11+G10+MAX(0,G6-100)*52/12)*12+IF(G3&lt;&gt;"N/A",G3,0)*J35*52-IF(K1="Yes",N37,O37))*0.41)/12,J18)</f>
        <v>338.14749999999998</v>
      </c>
    </row>
    <row r="20" spans="1:15" x14ac:dyDescent="0.25">
      <c r="B20" s="3"/>
      <c r="C20" s="38">
        <f>SUM(C15:C19)</f>
        <v>2313.4</v>
      </c>
      <c r="D20" s="38"/>
      <c r="E20" s="9"/>
      <c r="I20" s="3"/>
      <c r="J20" s="4">
        <f>J18-J19</f>
        <v>1061.0525000000002</v>
      </c>
    </row>
    <row r="21" spans="1:15" x14ac:dyDescent="0.25">
      <c r="B21" s="24" t="s">
        <v>247</v>
      </c>
      <c r="C21" s="35">
        <f>MIN(MAX(0,J47+J48+G6*52/12-I51)*G44+G7*52/12+G8+IF(G3&lt;&gt;"N/A",G3,0)*J35*52/12+IF(G5&gt;6000,ROUNDUP((G5-6000)/250,0),0)*G42,C20)</f>
        <v>586.85</v>
      </c>
      <c r="D21" s="35"/>
      <c r="E21" s="10"/>
      <c r="I21" s="24" t="s">
        <v>246</v>
      </c>
      <c r="J21" s="20">
        <f>IF(B5="LHA",MIN(IF(B7="",0,B7),IFERROR(HLOOKUP(B6,B46:F198,MATCH(J12,A46:A198,0),FALSE),0)),IF(B7="",0,B7)*IF(B5=0.14,0.86,IF(B5=0.25,0.75,1)))</f>
        <v>725</v>
      </c>
    </row>
    <row r="22" spans="1:15" x14ac:dyDescent="0.25">
      <c r="B22" s="8" t="s">
        <v>46</v>
      </c>
      <c r="C22" s="36">
        <f>MIN(MAX(0,IF(J54,C20-C21-C18+J57-J56,0)),C20-C21)</f>
        <v>0</v>
      </c>
      <c r="D22" s="36"/>
      <c r="E22" s="10"/>
      <c r="I22" s="24" t="s">
        <v>247</v>
      </c>
      <c r="J22" s="6">
        <f>MIN(MAX(J60-J61-J62-J63-J66-J67-J68,0)*0.65*52/12,J21)</f>
        <v>414.63012500000008</v>
      </c>
    </row>
    <row r="23" spans="1:15" x14ac:dyDescent="0.25">
      <c r="C23" s="37">
        <f>C20-C21-C22</f>
        <v>1726.5500000000002</v>
      </c>
      <c r="D23" s="37"/>
      <c r="E23" s="11"/>
      <c r="F23" s="20"/>
      <c r="I23" s="8" t="s">
        <v>46</v>
      </c>
      <c r="J23" s="7">
        <f>MIN(MAX(0,IF(J55,J20+J21-J22+J57-J56,0)),J20+J21-J22)</f>
        <v>0</v>
      </c>
    </row>
    <row r="24" spans="1:15" x14ac:dyDescent="0.25">
      <c r="E24" s="2"/>
      <c r="J24" s="5">
        <f>J20+J21-J22-J23</f>
        <v>1371.4223750000001</v>
      </c>
    </row>
    <row r="25" spans="1:15" x14ac:dyDescent="0.25">
      <c r="E25" s="2"/>
    </row>
    <row r="28" spans="1:15" x14ac:dyDescent="0.25">
      <c r="B28" s="28"/>
      <c r="C28" s="28"/>
      <c r="D28" s="28"/>
      <c r="E28" s="28"/>
    </row>
    <row r="29" spans="1:15" hidden="1" x14ac:dyDescent="0.25">
      <c r="A29" s="21" t="s">
        <v>2</v>
      </c>
      <c r="B29" s="21" t="s">
        <v>0</v>
      </c>
      <c r="C29" s="21" t="s">
        <v>1</v>
      </c>
      <c r="F29" s="21" t="s">
        <v>21</v>
      </c>
      <c r="G29" s="20">
        <v>185.86</v>
      </c>
      <c r="I29" s="21" t="s">
        <v>16</v>
      </c>
      <c r="J29" s="21" t="s">
        <v>0</v>
      </c>
      <c r="K29" s="21" t="s">
        <v>17</v>
      </c>
      <c r="M29" s="30" t="s">
        <v>55</v>
      </c>
      <c r="N29" s="30"/>
      <c r="O29" s="30"/>
    </row>
    <row r="30" spans="1:15" hidden="1" x14ac:dyDescent="0.25">
      <c r="A30" s="21" t="s">
        <v>5</v>
      </c>
      <c r="B30" s="20">
        <v>292.11</v>
      </c>
      <c r="C30" s="20">
        <v>458.51</v>
      </c>
      <c r="D30" s="20"/>
      <c r="E30" s="20"/>
      <c r="F30" s="21" t="s">
        <v>11</v>
      </c>
      <c r="G30" s="20">
        <v>146.31</v>
      </c>
      <c r="I30" s="21" t="s">
        <v>67</v>
      </c>
      <c r="J30" s="20">
        <f>16967/12</f>
        <v>1413.9166666666667</v>
      </c>
      <c r="K30" s="20">
        <f>25323/12</f>
        <v>2110.25</v>
      </c>
      <c r="M30" s="20">
        <f>ROUNDUP(2280/366,2)*366</f>
        <v>2280.1799999999998</v>
      </c>
      <c r="N30" s="20">
        <f>ROUNDUP(2340/366,2)*366</f>
        <v>2342.3999999999996</v>
      </c>
      <c r="O30" s="20">
        <f>ROUNDUP(950/366,2)*366</f>
        <v>951.59999999999991</v>
      </c>
    </row>
    <row r="31" spans="1:15" hidden="1" x14ac:dyDescent="0.25">
      <c r="A31" s="21" t="s">
        <v>6</v>
      </c>
      <c r="B31" s="20">
        <v>368.74</v>
      </c>
      <c r="C31" s="20">
        <v>578.82000000000005</v>
      </c>
      <c r="D31" s="20"/>
      <c r="E31" s="20"/>
      <c r="F31" s="21" t="s">
        <v>12</v>
      </c>
      <c r="G31" s="20">
        <v>390.06</v>
      </c>
      <c r="I31" s="21" t="s">
        <v>24</v>
      </c>
      <c r="J31" s="20">
        <f>14753/12</f>
        <v>1229.4166666666667</v>
      </c>
      <c r="K31" s="20">
        <f>22020/12</f>
        <v>1835</v>
      </c>
      <c r="N31" s="20">
        <f>ROUNDUP(3685/366,2)*366</f>
        <v>3685.62</v>
      </c>
      <c r="O31" s="20">
        <f>ROUNDUP(1595/366,2)*366</f>
        <v>1595.7599999999998</v>
      </c>
    </row>
    <row r="32" spans="1:15" hidden="1" x14ac:dyDescent="0.25"/>
    <row r="33" spans="1:15" hidden="1" x14ac:dyDescent="0.25">
      <c r="A33" s="21" t="s">
        <v>20</v>
      </c>
      <c r="B33" s="21" t="s">
        <v>3</v>
      </c>
      <c r="C33" s="21" t="s">
        <v>4</v>
      </c>
      <c r="F33" s="21" t="s">
        <v>13</v>
      </c>
      <c r="G33" s="16">
        <v>0.85</v>
      </c>
      <c r="I33" s="21" t="s">
        <v>18</v>
      </c>
      <c r="J33" s="17">
        <f>ROUNDDOWN(10.42*16*52/12,0)</f>
        <v>722</v>
      </c>
      <c r="M33" s="30" t="s">
        <v>13</v>
      </c>
      <c r="N33" s="30"/>
      <c r="O33" s="18">
        <v>0.7</v>
      </c>
    </row>
    <row r="34" spans="1:15" hidden="1" x14ac:dyDescent="0.25">
      <c r="A34" s="21" t="s">
        <v>7</v>
      </c>
      <c r="B34" s="20">
        <v>315</v>
      </c>
      <c r="C34" s="20">
        <v>269.58</v>
      </c>
      <c r="F34" s="19" t="s">
        <v>30</v>
      </c>
      <c r="G34" s="20">
        <v>646.35</v>
      </c>
      <c r="L34" s="20"/>
      <c r="N34" s="17">
        <v>175</v>
      </c>
      <c r="O34" s="17">
        <v>300</v>
      </c>
    </row>
    <row r="35" spans="1:15" hidden="1" x14ac:dyDescent="0.25">
      <c r="A35" s="21" t="s">
        <v>8</v>
      </c>
      <c r="B35" s="32">
        <v>146.31</v>
      </c>
      <c r="C35" s="32"/>
      <c r="F35" s="21" t="s">
        <v>31</v>
      </c>
      <c r="G35" s="20">
        <v>1108.04</v>
      </c>
      <c r="I35" s="21" t="s">
        <v>58</v>
      </c>
      <c r="J35" s="20">
        <v>76.75</v>
      </c>
      <c r="L35" s="20"/>
    </row>
    <row r="36" spans="1:15" hidden="1" x14ac:dyDescent="0.25">
      <c r="A36" s="21" t="s">
        <v>9</v>
      </c>
      <c r="B36" s="32">
        <v>456.89</v>
      </c>
      <c r="C36" s="32"/>
      <c r="J36" s="21"/>
      <c r="L36" s="20"/>
      <c r="N36" s="30" t="s">
        <v>57</v>
      </c>
      <c r="O36" s="30"/>
    </row>
    <row r="37" spans="1:15" hidden="1" x14ac:dyDescent="0.25">
      <c r="F37" s="30" t="s">
        <v>14</v>
      </c>
      <c r="G37" s="30"/>
      <c r="I37" s="30" t="s">
        <v>51</v>
      </c>
      <c r="J37" s="30"/>
      <c r="L37" s="20"/>
      <c r="N37" s="17">
        <v>7455</v>
      </c>
      <c r="O37" s="17">
        <v>18725</v>
      </c>
    </row>
    <row r="38" spans="1:15" hidden="1" x14ac:dyDescent="0.25">
      <c r="A38" s="21" t="s">
        <v>225</v>
      </c>
      <c r="B38" s="18">
        <v>0.2</v>
      </c>
      <c r="C38" s="20">
        <f>12570/12</f>
        <v>1047.5</v>
      </c>
      <c r="F38" s="21" t="s">
        <v>22</v>
      </c>
      <c r="G38" s="17">
        <v>631</v>
      </c>
      <c r="H38" s="17"/>
      <c r="I38" s="21" t="s">
        <v>3</v>
      </c>
      <c r="J38" s="20">
        <v>24</v>
      </c>
    </row>
    <row r="39" spans="1:15" hidden="1" x14ac:dyDescent="0.25">
      <c r="A39" s="21" t="s">
        <v>226</v>
      </c>
      <c r="B39" s="29">
        <v>0.12</v>
      </c>
      <c r="C39" s="20">
        <v>1048</v>
      </c>
      <c r="F39" s="21" t="s">
        <v>23</v>
      </c>
      <c r="G39" s="17">
        <v>379</v>
      </c>
      <c r="H39" s="17"/>
      <c r="I39" s="21" t="s">
        <v>4</v>
      </c>
      <c r="J39" s="20">
        <v>15.9</v>
      </c>
    </row>
    <row r="40" spans="1:15" hidden="1" x14ac:dyDescent="0.25">
      <c r="A40" s="21"/>
      <c r="B40" s="20"/>
      <c r="C40" s="20"/>
    </row>
    <row r="41" spans="1:15" hidden="1" x14ac:dyDescent="0.25">
      <c r="A41" s="21"/>
      <c r="B41" s="20"/>
      <c r="C41" s="20"/>
      <c r="F41" s="30" t="s">
        <v>15</v>
      </c>
      <c r="G41" s="30"/>
      <c r="I41" s="30" t="s">
        <v>54</v>
      </c>
      <c r="J41" s="30"/>
    </row>
    <row r="42" spans="1:15" hidden="1" x14ac:dyDescent="0.25">
      <c r="A42" s="21"/>
      <c r="B42" s="20"/>
      <c r="C42" s="20"/>
      <c r="F42" s="21" t="s">
        <v>29</v>
      </c>
      <c r="G42" s="20">
        <v>4.3499999999999996</v>
      </c>
      <c r="I42" s="20">
        <f>ROUNDUP(3235/366,2)*366</f>
        <v>3235.44</v>
      </c>
      <c r="J42" s="20">
        <f>ROUNDUP(545/366,2)*366</f>
        <v>545.34</v>
      </c>
    </row>
    <row r="43" spans="1:15" hidden="1" x14ac:dyDescent="0.25">
      <c r="A43" s="21"/>
      <c r="B43" s="20"/>
      <c r="C43" s="20"/>
      <c r="I43" s="20">
        <f>ROUNDUP(3905/366,2)*366</f>
        <v>3905.22</v>
      </c>
      <c r="J43" s="20">
        <f>ROUNDUP(5480/366,2)*366</f>
        <v>5482.68</v>
      </c>
    </row>
    <row r="44" spans="1:15" hidden="1" x14ac:dyDescent="0.25">
      <c r="F44" s="21" t="s">
        <v>19</v>
      </c>
      <c r="G44" s="18">
        <v>0.55000000000000004</v>
      </c>
      <c r="H44" s="18"/>
      <c r="I44" s="18"/>
    </row>
    <row r="45" spans="1:15" hidden="1" x14ac:dyDescent="0.25"/>
    <row r="46" spans="1:15" hidden="1" x14ac:dyDescent="0.25">
      <c r="A46" s="21" t="s">
        <v>220</v>
      </c>
      <c r="B46" s="21" t="s">
        <v>10</v>
      </c>
      <c r="C46" s="21" t="s">
        <v>25</v>
      </c>
      <c r="D46" s="21" t="s">
        <v>26</v>
      </c>
      <c r="E46" s="21" t="s">
        <v>27</v>
      </c>
      <c r="F46" s="21" t="s">
        <v>28</v>
      </c>
      <c r="I46" s="30" t="s">
        <v>240</v>
      </c>
      <c r="J46" s="30"/>
    </row>
    <row r="47" spans="1:15" hidden="1" x14ac:dyDescent="0.25">
      <c r="A47" s="22" t="s">
        <v>68</v>
      </c>
      <c r="B47" s="23">
        <v>338.93</v>
      </c>
      <c r="C47" s="23">
        <v>625.02</v>
      </c>
      <c r="D47" s="23">
        <v>730</v>
      </c>
      <c r="E47" s="23">
        <v>899.99</v>
      </c>
      <c r="F47" s="23">
        <v>1129.98</v>
      </c>
      <c r="I47" s="1" t="s">
        <v>238</v>
      </c>
      <c r="J47" s="20">
        <f>B10-IF(B10&gt;C38,(B10-C38)*B38,0)-IF(B10&gt;C39,(B10-C39)*B39,0)</f>
        <v>723</v>
      </c>
    </row>
    <row r="48" spans="1:15" hidden="1" x14ac:dyDescent="0.25">
      <c r="A48" s="22" t="s">
        <v>69</v>
      </c>
      <c r="B48" s="23">
        <v>341.49</v>
      </c>
      <c r="C48" s="23">
        <v>674.99</v>
      </c>
      <c r="D48" s="23">
        <v>800</v>
      </c>
      <c r="E48" s="23">
        <v>1049.98</v>
      </c>
      <c r="F48" s="23">
        <v>1399.99</v>
      </c>
      <c r="I48" s="1" t="s">
        <v>239</v>
      </c>
      <c r="J48" s="20">
        <f>B11-IF(B11&gt;C38,(B11-C38)*B38,0)-IF(B11&gt;C39,(B11-C39)*B39,0)</f>
        <v>723</v>
      </c>
    </row>
    <row r="49" spans="1:10" hidden="1" x14ac:dyDescent="0.25">
      <c r="A49" s="22" t="s">
        <v>70</v>
      </c>
      <c r="B49" s="23">
        <v>267.23</v>
      </c>
      <c r="C49" s="23">
        <v>365</v>
      </c>
      <c r="D49" s="23">
        <v>399.98</v>
      </c>
      <c r="E49" s="23">
        <v>475.02</v>
      </c>
      <c r="F49" s="23">
        <v>645.01</v>
      </c>
    </row>
    <row r="50" spans="1:10" hidden="1" x14ac:dyDescent="0.25">
      <c r="A50" s="22" t="s">
        <v>71</v>
      </c>
      <c r="B50" s="23">
        <v>353.49</v>
      </c>
      <c r="C50" s="23">
        <v>376.04</v>
      </c>
      <c r="D50" s="23">
        <v>445</v>
      </c>
      <c r="E50" s="23">
        <v>550.02</v>
      </c>
      <c r="F50" s="23">
        <v>725</v>
      </c>
      <c r="I50" s="30" t="s">
        <v>241</v>
      </c>
      <c r="J50" s="30"/>
    </row>
    <row r="51" spans="1:10" hidden="1" x14ac:dyDescent="0.25">
      <c r="A51" s="22" t="s">
        <v>72</v>
      </c>
      <c r="B51" s="23">
        <v>341.49</v>
      </c>
      <c r="C51" s="23">
        <v>695.02</v>
      </c>
      <c r="D51" s="23">
        <v>824.99</v>
      </c>
      <c r="E51" s="23">
        <v>950</v>
      </c>
      <c r="F51" s="23">
        <v>1249.99</v>
      </c>
      <c r="I51" s="32">
        <f>IF(OR(B3,B4,RIGHT(G4,3)="LCW",RIGHT(G4,5)="LCWRA"),IF(AND(OR(B5&lt;&gt;"LHA",B6&lt;&gt;""),B7&gt;0),G39,G38),0)</f>
        <v>379</v>
      </c>
      <c r="J51" s="32"/>
    </row>
    <row r="52" spans="1:10" hidden="1" x14ac:dyDescent="0.25">
      <c r="A52" s="22" t="s">
        <v>73</v>
      </c>
      <c r="B52" s="23">
        <v>459.81</v>
      </c>
      <c r="C52" s="23">
        <v>725</v>
      </c>
      <c r="D52" s="23">
        <v>850.02</v>
      </c>
      <c r="E52" s="23">
        <v>995.02</v>
      </c>
      <c r="F52" s="23">
        <v>1750</v>
      </c>
      <c r="J52" s="20"/>
    </row>
    <row r="53" spans="1:10" hidden="1" x14ac:dyDescent="0.25">
      <c r="A53" s="22" t="s">
        <v>74</v>
      </c>
      <c r="B53" s="23">
        <v>345.75</v>
      </c>
      <c r="C53" s="23">
        <v>575.01</v>
      </c>
      <c r="D53" s="23">
        <v>725</v>
      </c>
      <c r="E53" s="23">
        <v>875</v>
      </c>
      <c r="F53" s="23">
        <v>1150.01</v>
      </c>
    </row>
    <row r="54" spans="1:10" hidden="1" x14ac:dyDescent="0.25">
      <c r="A54" s="22" t="s">
        <v>75</v>
      </c>
      <c r="B54" s="23">
        <v>291.13</v>
      </c>
      <c r="C54" s="23">
        <v>524.99</v>
      </c>
      <c r="D54" s="23">
        <v>625.02</v>
      </c>
      <c r="E54" s="23">
        <v>674.99</v>
      </c>
      <c r="F54" s="23">
        <v>850.02</v>
      </c>
      <c r="I54" s="21" t="s">
        <v>244</v>
      </c>
      <c r="J54" s="1">
        <f>IF(AND(B10+B11+G6*52/12&lt;J33,G1+G2=0,G12="N/A",G3="N/A",OR(G4="N/A",G4="LCW"),B12="No"),1,0)</f>
        <v>0</v>
      </c>
    </row>
    <row r="55" spans="1:10" hidden="1" x14ac:dyDescent="0.25">
      <c r="A55" s="22" t="s">
        <v>76</v>
      </c>
      <c r="B55" s="23">
        <v>261.5</v>
      </c>
      <c r="C55" s="23">
        <v>398.98</v>
      </c>
      <c r="D55" s="23">
        <v>510</v>
      </c>
      <c r="E55" s="23">
        <v>594.99</v>
      </c>
      <c r="F55" s="23">
        <v>749.99</v>
      </c>
      <c r="I55" s="21" t="s">
        <v>245</v>
      </c>
      <c r="J55" s="1">
        <f>IF(AND(K1="No",G1+G2=0,G12="N/A",G3="N/A",B12="No"),1,0)</f>
        <v>0</v>
      </c>
    </row>
    <row r="56" spans="1:10" hidden="1" x14ac:dyDescent="0.25">
      <c r="A56" s="22" t="s">
        <v>77</v>
      </c>
      <c r="B56" s="23">
        <v>375.86</v>
      </c>
      <c r="C56" s="23">
        <v>700.02</v>
      </c>
      <c r="D56" s="23">
        <v>875</v>
      </c>
      <c r="E56" s="23">
        <v>1100</v>
      </c>
      <c r="F56" s="23">
        <v>1450.01</v>
      </c>
      <c r="I56" s="21" t="s">
        <v>242</v>
      </c>
      <c r="J56" s="20">
        <f>IF(OR(B1="Couple",B3+B4&gt;0),IF(K11="Yes",K30,K31),IF(K11="Yes",J30,J31))</f>
        <v>1835</v>
      </c>
    </row>
    <row r="57" spans="1:10" hidden="1" x14ac:dyDescent="0.25">
      <c r="A57" s="22" t="s">
        <v>78</v>
      </c>
      <c r="B57" s="23">
        <v>290</v>
      </c>
      <c r="C57" s="23">
        <v>394.98</v>
      </c>
      <c r="D57" s="23">
        <v>480.02</v>
      </c>
      <c r="E57" s="23">
        <v>594.99</v>
      </c>
      <c r="F57" s="23">
        <v>800</v>
      </c>
      <c r="I57" s="21" t="s">
        <v>243</v>
      </c>
      <c r="J57" s="20">
        <f>(G7+IF(G11="Yes",MIN(1,B3+B4)*J38+MAX(0,B3+B4-1)*J39,0))*52/12</f>
        <v>241.79999999999998</v>
      </c>
    </row>
    <row r="58" spans="1:10" hidden="1" x14ac:dyDescent="0.25">
      <c r="A58" s="22" t="s">
        <v>79</v>
      </c>
      <c r="B58" s="23">
        <v>332.41</v>
      </c>
      <c r="C58" s="23">
        <v>598.51</v>
      </c>
      <c r="D58" s="23">
        <v>759.98</v>
      </c>
      <c r="E58" s="23">
        <v>950</v>
      </c>
      <c r="F58" s="23">
        <v>1249.99</v>
      </c>
    </row>
    <row r="59" spans="1:10" hidden="1" x14ac:dyDescent="0.25">
      <c r="A59" s="22" t="s">
        <v>80</v>
      </c>
      <c r="B59" s="23">
        <v>296.77999999999997</v>
      </c>
      <c r="C59" s="23">
        <v>350.01</v>
      </c>
      <c r="D59" s="23">
        <v>449.99</v>
      </c>
      <c r="E59" s="23">
        <v>524.99</v>
      </c>
      <c r="F59" s="23">
        <v>614.98</v>
      </c>
      <c r="I59" s="30" t="s">
        <v>254</v>
      </c>
      <c r="J59" s="30"/>
    </row>
    <row r="60" spans="1:10" hidden="1" x14ac:dyDescent="0.25">
      <c r="A60" s="22" t="s">
        <v>81</v>
      </c>
      <c r="B60" s="23">
        <v>430</v>
      </c>
      <c r="C60" s="23">
        <v>800</v>
      </c>
      <c r="D60" s="23">
        <v>1000.01</v>
      </c>
      <c r="E60" s="23">
        <v>1199.98</v>
      </c>
      <c r="F60" s="23">
        <v>1694.99</v>
      </c>
      <c r="I60" s="21" t="s">
        <v>256</v>
      </c>
      <c r="J60" s="20">
        <f>(J47+J48+G9+J20)*12/52+IF(G5&gt;=6000,ROUNDUP((G5-6000)/250,0),0)+G6+G7+IF(G3&lt;&gt;"N/A",G3,0)*J35</f>
        <v>578.55057692307696</v>
      </c>
    </row>
    <row r="61" spans="1:10" hidden="1" x14ac:dyDescent="0.25">
      <c r="A61" s="22" t="s">
        <v>82</v>
      </c>
      <c r="B61" s="23">
        <v>391.51</v>
      </c>
      <c r="C61" s="23">
        <v>695.02</v>
      </c>
      <c r="D61" s="23">
        <v>824.99</v>
      </c>
      <c r="E61" s="23">
        <v>950</v>
      </c>
      <c r="F61" s="23">
        <v>1324.99</v>
      </c>
      <c r="I61" s="21" t="s">
        <v>248</v>
      </c>
      <c r="J61" s="20">
        <f>IF(OR(B10,B11,G6),IF(AND(B1="Single",B3+B4&gt;0),25,IF(OR(G12&lt;&gt;"N/A",K9&lt;&gt;"N/A",AND(G3&lt;&gt;"N/A",K10="Yes")),20,IF(B1="Couple",10,5))),0)</f>
        <v>10</v>
      </c>
    </row>
    <row r="62" spans="1:10" hidden="1" x14ac:dyDescent="0.25">
      <c r="A62" s="22" t="s">
        <v>83</v>
      </c>
      <c r="B62" s="23">
        <v>360</v>
      </c>
      <c r="C62" s="23">
        <v>524.99</v>
      </c>
      <c r="D62" s="23">
        <v>650</v>
      </c>
      <c r="E62" s="23">
        <v>800</v>
      </c>
      <c r="F62" s="23">
        <v>1199.98</v>
      </c>
      <c r="I62" s="21" t="s">
        <v>249</v>
      </c>
      <c r="J62" s="20">
        <f>IF(OR(AND(K1="Yes",K2="Yes"),AND(B3+B4&gt;0,K1="Yes",B10+B11&gt;0)),17.1,0)</f>
        <v>17.100000000000001</v>
      </c>
    </row>
    <row r="63" spans="1:10" hidden="1" x14ac:dyDescent="0.25">
      <c r="A63" s="22" t="s">
        <v>84</v>
      </c>
      <c r="B63" s="23">
        <v>421.49</v>
      </c>
      <c r="C63" s="23">
        <v>775.02</v>
      </c>
      <c r="D63" s="23">
        <v>850.02</v>
      </c>
      <c r="E63" s="23">
        <v>950</v>
      </c>
      <c r="F63" s="23">
        <v>1300.01</v>
      </c>
      <c r="I63" s="21" t="s">
        <v>250</v>
      </c>
      <c r="J63" s="20">
        <f>IF(K5="Yes",MIN(B9*12/52,IF(B8&gt;1,300,IF(B8=1,175,0))))</f>
        <v>115.38461538461539</v>
      </c>
    </row>
    <row r="64" spans="1:10" hidden="1" x14ac:dyDescent="0.25">
      <c r="A64" s="22" t="s">
        <v>85</v>
      </c>
      <c r="B64" s="23">
        <v>341.49</v>
      </c>
      <c r="C64" s="23">
        <v>594.99</v>
      </c>
      <c r="D64" s="23">
        <v>795</v>
      </c>
      <c r="E64" s="23">
        <v>974.98</v>
      </c>
      <c r="F64" s="23">
        <v>1249.99</v>
      </c>
    </row>
    <row r="65" spans="1:10" hidden="1" x14ac:dyDescent="0.25">
      <c r="A65" s="22" t="s">
        <v>86</v>
      </c>
      <c r="B65" s="23">
        <v>328.07</v>
      </c>
      <c r="C65" s="23">
        <v>599.99</v>
      </c>
      <c r="D65" s="23">
        <v>650</v>
      </c>
      <c r="E65" s="23">
        <v>725</v>
      </c>
      <c r="F65" s="23">
        <v>950</v>
      </c>
      <c r="I65" s="30" t="s">
        <v>255</v>
      </c>
      <c r="J65" s="30"/>
    </row>
    <row r="66" spans="1:10" hidden="1" x14ac:dyDescent="0.25">
      <c r="A66" s="22" t="s">
        <v>87</v>
      </c>
      <c r="B66" s="23">
        <v>288.95999999999998</v>
      </c>
      <c r="C66" s="23">
        <v>394.98</v>
      </c>
      <c r="D66" s="23">
        <v>500.01</v>
      </c>
      <c r="E66" s="23">
        <v>575.01</v>
      </c>
      <c r="F66" s="23">
        <v>795</v>
      </c>
      <c r="I66" s="21" t="s">
        <v>257</v>
      </c>
      <c r="J66" s="20">
        <f>IF(B1="Single",IF(OR(B2="Yes",B3+B4&gt;0),84.8,67.2),133.3)</f>
        <v>133.30000000000001</v>
      </c>
    </row>
    <row r="67" spans="1:10" hidden="1" x14ac:dyDescent="0.25">
      <c r="A67" s="22" t="s">
        <v>88</v>
      </c>
      <c r="B67" s="23">
        <v>669.99</v>
      </c>
      <c r="C67" s="23">
        <v>1283.96</v>
      </c>
      <c r="D67" s="23">
        <v>1589.99</v>
      </c>
      <c r="E67" s="23">
        <v>1920</v>
      </c>
      <c r="F67" s="23">
        <v>2579.98</v>
      </c>
      <c r="I67" s="21" t="s">
        <v>251</v>
      </c>
      <c r="J67" s="20">
        <f>MAX(B3,MIN(2,B3+B4))*77.78+IF(AND(K6="Yes",B3+B4&gt;0),18.53,0)</f>
        <v>155.56</v>
      </c>
    </row>
    <row r="68" spans="1:10" hidden="1" x14ac:dyDescent="0.25">
      <c r="A68" s="22" t="s">
        <v>89</v>
      </c>
      <c r="B68" s="23">
        <v>360</v>
      </c>
      <c r="C68" s="23">
        <v>495.01</v>
      </c>
      <c r="D68" s="23">
        <v>599.99</v>
      </c>
      <c r="E68" s="23">
        <v>710.01</v>
      </c>
      <c r="F68" s="23">
        <v>950</v>
      </c>
      <c r="I68" s="21" t="s">
        <v>252</v>
      </c>
      <c r="J68" s="20">
        <f>G1*74.69+G2*104.86+IF(G3&lt;&gt;"N/A",G3*42.75,0)+IF(G12="SR",IF(B1="Single",39.85,56.8),IF(G12="ER",IF(B1="Single",59.4,84.7),0))+IF(K9=1,76.4,IF(K9=2,152.8,0))</f>
        <v>0</v>
      </c>
    </row>
    <row r="69" spans="1:10" hidden="1" x14ac:dyDescent="0.25">
      <c r="A69" s="22" t="s">
        <v>90</v>
      </c>
      <c r="B69" s="23">
        <v>391.51</v>
      </c>
      <c r="C69" s="23">
        <v>650</v>
      </c>
      <c r="D69" s="23">
        <v>795</v>
      </c>
      <c r="E69" s="23">
        <v>984.98</v>
      </c>
      <c r="F69" s="23">
        <v>1295.01</v>
      </c>
    </row>
    <row r="70" spans="1:10" hidden="1" x14ac:dyDescent="0.25">
      <c r="A70" s="22" t="s">
        <v>91</v>
      </c>
      <c r="B70" s="23">
        <v>341.49</v>
      </c>
      <c r="C70" s="23">
        <v>550.02</v>
      </c>
      <c r="D70" s="23">
        <v>695.02</v>
      </c>
      <c r="E70" s="23">
        <v>850.02</v>
      </c>
      <c r="F70" s="23">
        <v>1194.98</v>
      </c>
    </row>
    <row r="71" spans="1:10" hidden="1" x14ac:dyDescent="0.25">
      <c r="A71" s="22" t="s">
        <v>92</v>
      </c>
      <c r="B71" s="23">
        <v>339</v>
      </c>
      <c r="C71" s="23">
        <v>650</v>
      </c>
      <c r="D71" s="23">
        <v>775.02</v>
      </c>
      <c r="E71" s="23">
        <v>899.99</v>
      </c>
      <c r="F71" s="23">
        <v>1297.51</v>
      </c>
    </row>
    <row r="72" spans="1:10" hidden="1" x14ac:dyDescent="0.25">
      <c r="A72" s="22" t="s">
        <v>93</v>
      </c>
      <c r="B72" s="23">
        <v>242.25</v>
      </c>
      <c r="C72" s="23">
        <v>389.99</v>
      </c>
      <c r="D72" s="23">
        <v>449.99</v>
      </c>
      <c r="E72" s="23">
        <v>550.02</v>
      </c>
      <c r="F72" s="23">
        <v>725</v>
      </c>
    </row>
    <row r="73" spans="1:10" hidden="1" x14ac:dyDescent="0.25">
      <c r="A73" s="22" t="s">
        <v>94</v>
      </c>
      <c r="B73" s="23">
        <v>341.49</v>
      </c>
      <c r="C73" s="23">
        <v>650</v>
      </c>
      <c r="D73" s="23">
        <v>824.99</v>
      </c>
      <c r="E73" s="23">
        <v>995.02</v>
      </c>
      <c r="F73" s="23">
        <v>1349.98</v>
      </c>
    </row>
    <row r="74" spans="1:10" hidden="1" x14ac:dyDescent="0.25">
      <c r="A74" s="22" t="s">
        <v>95</v>
      </c>
      <c r="B74" s="23">
        <v>389.99</v>
      </c>
      <c r="C74" s="23">
        <v>749.99</v>
      </c>
      <c r="D74" s="23">
        <v>974.98</v>
      </c>
      <c r="E74" s="23">
        <v>1249.99</v>
      </c>
      <c r="F74" s="23">
        <v>1650.02</v>
      </c>
    </row>
    <row r="75" spans="1:10" hidden="1" x14ac:dyDescent="0.25">
      <c r="A75" s="22" t="s">
        <v>96</v>
      </c>
      <c r="B75" s="23">
        <v>309.99</v>
      </c>
      <c r="C75" s="23">
        <v>524.99</v>
      </c>
      <c r="D75" s="23">
        <v>689.98</v>
      </c>
      <c r="E75" s="23">
        <v>850.02</v>
      </c>
      <c r="F75" s="23">
        <v>1100</v>
      </c>
    </row>
    <row r="76" spans="1:10" hidden="1" x14ac:dyDescent="0.25">
      <c r="A76" s="22" t="s">
        <v>97</v>
      </c>
      <c r="B76" s="23">
        <v>336.76</v>
      </c>
      <c r="C76" s="23">
        <v>490.01</v>
      </c>
      <c r="D76" s="23">
        <v>575.01</v>
      </c>
      <c r="E76" s="23">
        <v>674.99</v>
      </c>
      <c r="F76" s="23">
        <v>875</v>
      </c>
    </row>
    <row r="77" spans="1:10" hidden="1" x14ac:dyDescent="0.25">
      <c r="A77" s="22" t="s">
        <v>98</v>
      </c>
      <c r="B77" s="23">
        <v>441.52</v>
      </c>
      <c r="C77" s="23">
        <v>749.99</v>
      </c>
      <c r="D77" s="23">
        <v>950</v>
      </c>
      <c r="E77" s="23">
        <v>1199.98</v>
      </c>
      <c r="F77" s="23">
        <v>1549.99</v>
      </c>
    </row>
    <row r="78" spans="1:10" hidden="1" x14ac:dyDescent="0.25">
      <c r="A78" s="22" t="s">
        <v>99</v>
      </c>
      <c r="B78" s="23">
        <v>288.95999999999998</v>
      </c>
      <c r="C78" s="23">
        <v>330.89</v>
      </c>
      <c r="D78" s="23">
        <v>399.98</v>
      </c>
      <c r="E78" s="23">
        <v>495.01</v>
      </c>
      <c r="F78" s="23">
        <v>660</v>
      </c>
    </row>
    <row r="79" spans="1:10" hidden="1" x14ac:dyDescent="0.25">
      <c r="A79" s="22" t="s">
        <v>100</v>
      </c>
      <c r="B79" s="23">
        <v>273.01</v>
      </c>
      <c r="C79" s="23">
        <v>394.98</v>
      </c>
      <c r="D79" s="23">
        <v>500.01</v>
      </c>
      <c r="E79" s="23">
        <v>594.99</v>
      </c>
      <c r="F79" s="23">
        <v>795</v>
      </c>
    </row>
    <row r="80" spans="1:10" hidden="1" x14ac:dyDescent="0.25">
      <c r="A80" s="22" t="s">
        <v>101</v>
      </c>
      <c r="B80" s="23">
        <v>267.23</v>
      </c>
      <c r="C80" s="23">
        <v>374.99</v>
      </c>
      <c r="D80" s="23">
        <v>440</v>
      </c>
      <c r="E80" s="23">
        <v>485.02</v>
      </c>
      <c r="F80" s="23">
        <v>655</v>
      </c>
    </row>
    <row r="81" spans="1:6" hidden="1" x14ac:dyDescent="0.25">
      <c r="A81" s="22" t="s">
        <v>102</v>
      </c>
      <c r="B81" s="23">
        <v>282.44</v>
      </c>
      <c r="C81" s="23">
        <v>435</v>
      </c>
      <c r="D81" s="23">
        <v>575.01</v>
      </c>
      <c r="E81" s="23">
        <v>749.99</v>
      </c>
      <c r="F81" s="23">
        <v>899.99</v>
      </c>
    </row>
    <row r="82" spans="1:6" hidden="1" x14ac:dyDescent="0.25">
      <c r="A82" s="22" t="s">
        <v>103</v>
      </c>
      <c r="B82" s="23">
        <v>282.44</v>
      </c>
      <c r="C82" s="23">
        <v>324.98</v>
      </c>
      <c r="D82" s="23">
        <v>379.99</v>
      </c>
      <c r="E82" s="23">
        <v>449.99</v>
      </c>
      <c r="F82" s="23">
        <v>609.98</v>
      </c>
    </row>
    <row r="83" spans="1:6" hidden="1" x14ac:dyDescent="0.25">
      <c r="A83" s="22" t="s">
        <v>104</v>
      </c>
      <c r="B83" s="23">
        <v>360</v>
      </c>
      <c r="C83" s="23">
        <v>495.01</v>
      </c>
      <c r="D83" s="23">
        <v>599.99</v>
      </c>
      <c r="E83" s="23">
        <v>824.99</v>
      </c>
      <c r="F83" s="23">
        <v>1300.01</v>
      </c>
    </row>
    <row r="84" spans="1:6" hidden="1" x14ac:dyDescent="0.25">
      <c r="A84" s="22" t="s">
        <v>105</v>
      </c>
      <c r="B84" s="23">
        <v>279.18</v>
      </c>
      <c r="C84" s="23">
        <v>369.35</v>
      </c>
      <c r="D84" s="23">
        <v>425.01</v>
      </c>
      <c r="E84" s="23">
        <v>499.7</v>
      </c>
      <c r="F84" s="23">
        <v>695.02</v>
      </c>
    </row>
    <row r="85" spans="1:6" hidden="1" x14ac:dyDescent="0.25">
      <c r="A85" s="22" t="s">
        <v>106</v>
      </c>
      <c r="B85" s="23">
        <v>449.99</v>
      </c>
      <c r="C85" s="23">
        <v>800</v>
      </c>
      <c r="D85" s="23">
        <v>1000.01</v>
      </c>
      <c r="E85" s="23">
        <v>1274.98</v>
      </c>
      <c r="F85" s="23">
        <v>1600</v>
      </c>
    </row>
    <row r="86" spans="1:6" hidden="1" x14ac:dyDescent="0.25">
      <c r="A86" s="22" t="s">
        <v>107</v>
      </c>
      <c r="B86" s="23">
        <v>325.07</v>
      </c>
      <c r="C86" s="23">
        <v>599.99</v>
      </c>
      <c r="D86" s="23">
        <v>764.98</v>
      </c>
      <c r="E86" s="23">
        <v>899.99</v>
      </c>
      <c r="F86" s="23">
        <v>1199.98</v>
      </c>
    </row>
    <row r="87" spans="1:6" hidden="1" x14ac:dyDescent="0.25">
      <c r="A87" s="22" t="s">
        <v>108</v>
      </c>
      <c r="B87" s="23">
        <v>291.48</v>
      </c>
      <c r="C87" s="23">
        <v>425.01</v>
      </c>
      <c r="D87" s="23">
        <v>524.99</v>
      </c>
      <c r="E87" s="23">
        <v>625.02</v>
      </c>
      <c r="F87" s="23">
        <v>795</v>
      </c>
    </row>
    <row r="88" spans="1:6" hidden="1" x14ac:dyDescent="0.25">
      <c r="A88" s="22" t="s">
        <v>109</v>
      </c>
      <c r="B88" s="23">
        <v>420.01</v>
      </c>
      <c r="C88" s="23">
        <v>570.01</v>
      </c>
      <c r="D88" s="23">
        <v>679.99</v>
      </c>
      <c r="E88" s="23">
        <v>824.99</v>
      </c>
      <c r="F88" s="23">
        <v>1100</v>
      </c>
    </row>
    <row r="89" spans="1:6" hidden="1" x14ac:dyDescent="0.25">
      <c r="A89" s="22" t="s">
        <v>110</v>
      </c>
      <c r="B89" s="23">
        <v>282.44</v>
      </c>
      <c r="C89" s="23">
        <v>369.35</v>
      </c>
      <c r="D89" s="23">
        <v>498.01</v>
      </c>
      <c r="E89" s="23">
        <v>575.01</v>
      </c>
      <c r="F89" s="23">
        <v>651.79</v>
      </c>
    </row>
    <row r="90" spans="1:6" hidden="1" x14ac:dyDescent="0.25">
      <c r="A90" s="22" t="s">
        <v>111</v>
      </c>
      <c r="B90" s="23">
        <v>341.49</v>
      </c>
      <c r="C90" s="23">
        <v>449.99</v>
      </c>
      <c r="D90" s="23">
        <v>599.99</v>
      </c>
      <c r="E90" s="23">
        <v>749.99</v>
      </c>
      <c r="F90" s="23">
        <v>950</v>
      </c>
    </row>
    <row r="91" spans="1:6" hidden="1" x14ac:dyDescent="0.25">
      <c r="A91" s="22" t="s">
        <v>112</v>
      </c>
      <c r="B91" s="23">
        <v>369.35</v>
      </c>
      <c r="C91" s="23">
        <v>374.99</v>
      </c>
      <c r="D91" s="23">
        <v>485.02</v>
      </c>
      <c r="E91" s="23">
        <v>575.01</v>
      </c>
      <c r="F91" s="23">
        <v>795</v>
      </c>
    </row>
    <row r="92" spans="1:6" hidden="1" x14ac:dyDescent="0.25">
      <c r="A92" s="22" t="s">
        <v>113</v>
      </c>
      <c r="B92" s="23">
        <v>283.52999999999997</v>
      </c>
      <c r="C92" s="23">
        <v>399.98</v>
      </c>
      <c r="D92" s="23">
        <v>469.98</v>
      </c>
      <c r="E92" s="23">
        <v>524.99</v>
      </c>
      <c r="F92" s="23">
        <v>677.86</v>
      </c>
    </row>
    <row r="93" spans="1:6" hidden="1" x14ac:dyDescent="0.25">
      <c r="A93" s="22" t="s">
        <v>114</v>
      </c>
      <c r="B93" s="23">
        <v>272.66000000000003</v>
      </c>
      <c r="C93" s="23">
        <v>334.58</v>
      </c>
      <c r="D93" s="23">
        <v>430</v>
      </c>
      <c r="E93" s="23">
        <v>449.99</v>
      </c>
      <c r="F93" s="23">
        <v>619.98</v>
      </c>
    </row>
    <row r="94" spans="1:6" hidden="1" x14ac:dyDescent="0.25">
      <c r="A94" s="22" t="s">
        <v>115</v>
      </c>
      <c r="B94" s="23">
        <v>490.01</v>
      </c>
      <c r="C94" s="23">
        <v>850.02</v>
      </c>
      <c r="D94" s="23">
        <v>1100</v>
      </c>
      <c r="E94" s="23">
        <v>1375.01</v>
      </c>
      <c r="F94" s="23">
        <v>1800.01</v>
      </c>
    </row>
    <row r="95" spans="1:6" hidden="1" x14ac:dyDescent="0.25">
      <c r="A95" s="22" t="s">
        <v>116</v>
      </c>
      <c r="B95" s="23">
        <v>306.33999999999997</v>
      </c>
      <c r="C95" s="23">
        <v>374.99</v>
      </c>
      <c r="D95" s="23">
        <v>449.99</v>
      </c>
      <c r="E95" s="23">
        <v>524.99</v>
      </c>
      <c r="F95" s="23">
        <v>650</v>
      </c>
    </row>
    <row r="96" spans="1:6" hidden="1" x14ac:dyDescent="0.25">
      <c r="A96" s="22" t="s">
        <v>117</v>
      </c>
      <c r="B96" s="23">
        <v>332.41</v>
      </c>
      <c r="C96" s="23">
        <v>720.01</v>
      </c>
      <c r="D96" s="23">
        <v>899.99</v>
      </c>
      <c r="E96" s="23">
        <v>1124.98</v>
      </c>
      <c r="F96" s="23">
        <v>1300.01</v>
      </c>
    </row>
    <row r="97" spans="1:6" hidden="1" x14ac:dyDescent="0.25">
      <c r="A97" s="22" t="s">
        <v>118</v>
      </c>
      <c r="B97" s="23">
        <v>325.89</v>
      </c>
      <c r="C97" s="23">
        <v>524.99</v>
      </c>
      <c r="D97" s="23">
        <v>665</v>
      </c>
      <c r="E97" s="23">
        <v>795</v>
      </c>
      <c r="F97" s="23">
        <v>1070.01</v>
      </c>
    </row>
    <row r="98" spans="1:6" hidden="1" x14ac:dyDescent="0.25">
      <c r="A98" s="22" t="s">
        <v>119</v>
      </c>
      <c r="B98" s="23">
        <v>336.95</v>
      </c>
      <c r="C98" s="23">
        <v>425.01</v>
      </c>
      <c r="D98" s="23">
        <v>550.02</v>
      </c>
      <c r="E98" s="23">
        <v>679.99</v>
      </c>
      <c r="F98" s="23">
        <v>894.99</v>
      </c>
    </row>
    <row r="99" spans="1:6" hidden="1" x14ac:dyDescent="0.25">
      <c r="A99" s="22" t="s">
        <v>120</v>
      </c>
      <c r="B99" s="23">
        <v>435</v>
      </c>
      <c r="C99" s="23">
        <v>695.02</v>
      </c>
      <c r="D99" s="23">
        <v>899.99</v>
      </c>
      <c r="E99" s="23">
        <v>1129.98</v>
      </c>
      <c r="F99" s="23">
        <v>1500.02</v>
      </c>
    </row>
    <row r="100" spans="1:6" hidden="1" x14ac:dyDescent="0.25">
      <c r="A100" s="22" t="s">
        <v>121</v>
      </c>
      <c r="B100" s="23">
        <v>304.17</v>
      </c>
      <c r="C100" s="23">
        <v>347.62</v>
      </c>
      <c r="D100" s="23">
        <v>399.98</v>
      </c>
      <c r="E100" s="23">
        <v>475.02</v>
      </c>
      <c r="F100" s="23">
        <v>599.99</v>
      </c>
    </row>
    <row r="101" spans="1:6" hidden="1" x14ac:dyDescent="0.25">
      <c r="A101" s="22" t="s">
        <v>122</v>
      </c>
      <c r="B101" s="23">
        <v>285</v>
      </c>
      <c r="C101" s="23">
        <v>565.01</v>
      </c>
      <c r="D101" s="23">
        <v>700.02</v>
      </c>
      <c r="E101" s="23">
        <v>824.99</v>
      </c>
      <c r="F101" s="23">
        <v>1100</v>
      </c>
    </row>
    <row r="102" spans="1:6" hidden="1" x14ac:dyDescent="0.25">
      <c r="A102" s="22" t="s">
        <v>123</v>
      </c>
      <c r="B102" s="23">
        <v>593.13</v>
      </c>
      <c r="C102" s="23">
        <v>1283.96</v>
      </c>
      <c r="D102" s="23">
        <v>1589.99</v>
      </c>
      <c r="E102" s="23">
        <v>1920</v>
      </c>
      <c r="F102" s="23">
        <v>2544.98</v>
      </c>
    </row>
    <row r="103" spans="1:6" hidden="1" x14ac:dyDescent="0.25">
      <c r="A103" s="22" t="s">
        <v>124</v>
      </c>
      <c r="B103" s="23">
        <v>640.01</v>
      </c>
      <c r="C103" s="23">
        <v>1283.96</v>
      </c>
      <c r="D103" s="23">
        <v>1589.99</v>
      </c>
      <c r="E103" s="23">
        <v>1920</v>
      </c>
      <c r="F103" s="23">
        <v>2579.98</v>
      </c>
    </row>
    <row r="104" spans="1:6" hidden="1" x14ac:dyDescent="0.25">
      <c r="A104" s="22" t="s">
        <v>125</v>
      </c>
      <c r="B104" s="23">
        <v>516.52</v>
      </c>
      <c r="C104" s="23">
        <v>1150.01</v>
      </c>
      <c r="D104" s="23">
        <v>1349.98</v>
      </c>
      <c r="E104" s="23">
        <v>1675</v>
      </c>
      <c r="F104" s="23">
        <v>2199.9899999999998</v>
      </c>
    </row>
    <row r="105" spans="1:6" hidden="1" x14ac:dyDescent="0.25">
      <c r="A105" s="22" t="s">
        <v>126</v>
      </c>
      <c r="B105" s="23">
        <v>508</v>
      </c>
      <c r="C105" s="23">
        <v>1283.96</v>
      </c>
      <c r="D105" s="23">
        <v>1549.99</v>
      </c>
      <c r="E105" s="23">
        <v>1920</v>
      </c>
      <c r="F105" s="23">
        <v>2579.98</v>
      </c>
    </row>
    <row r="106" spans="1:6" hidden="1" x14ac:dyDescent="0.25">
      <c r="A106" s="22" t="s">
        <v>127</v>
      </c>
      <c r="B106" s="23">
        <v>625.02</v>
      </c>
      <c r="C106" s="23">
        <v>1208.02</v>
      </c>
      <c r="D106" s="23">
        <v>1474.99</v>
      </c>
      <c r="E106" s="23">
        <v>1920</v>
      </c>
      <c r="F106" s="23">
        <v>2320.0100000000002</v>
      </c>
    </row>
    <row r="107" spans="1:6" hidden="1" x14ac:dyDescent="0.25">
      <c r="A107" s="22" t="s">
        <v>128</v>
      </c>
      <c r="B107" s="23">
        <v>309.99</v>
      </c>
      <c r="C107" s="23">
        <v>490.01</v>
      </c>
      <c r="D107" s="23">
        <v>609.98</v>
      </c>
      <c r="E107" s="23">
        <v>715.01</v>
      </c>
      <c r="F107" s="23">
        <v>894.99</v>
      </c>
    </row>
    <row r="108" spans="1:6" hidden="1" x14ac:dyDescent="0.25">
      <c r="A108" s="22" t="s">
        <v>129</v>
      </c>
      <c r="B108" s="23">
        <v>310.68</v>
      </c>
      <c r="C108" s="23">
        <v>449.99</v>
      </c>
      <c r="D108" s="23">
        <v>575.01</v>
      </c>
      <c r="E108" s="23">
        <v>725</v>
      </c>
      <c r="F108" s="23">
        <v>894.99</v>
      </c>
    </row>
    <row r="109" spans="1:6" hidden="1" x14ac:dyDescent="0.25">
      <c r="A109" s="22" t="s">
        <v>130</v>
      </c>
      <c r="B109" s="23">
        <v>295.48</v>
      </c>
      <c r="C109" s="23">
        <v>495.01</v>
      </c>
      <c r="D109" s="23">
        <v>599.99</v>
      </c>
      <c r="E109" s="23">
        <v>725</v>
      </c>
      <c r="F109" s="23">
        <v>850.02</v>
      </c>
    </row>
    <row r="110" spans="1:6" hidden="1" x14ac:dyDescent="0.25">
      <c r="A110" s="22" t="s">
        <v>131</v>
      </c>
      <c r="B110" s="23">
        <v>351.83</v>
      </c>
      <c r="C110" s="23">
        <v>495.01</v>
      </c>
      <c r="D110" s="23">
        <v>625.02</v>
      </c>
      <c r="E110" s="23">
        <v>735</v>
      </c>
      <c r="F110" s="23">
        <v>925.01</v>
      </c>
    </row>
    <row r="111" spans="1:6" hidden="1" x14ac:dyDescent="0.25">
      <c r="A111" s="22" t="s">
        <v>132</v>
      </c>
      <c r="B111" s="23">
        <v>285</v>
      </c>
      <c r="C111" s="23">
        <v>449.99</v>
      </c>
      <c r="D111" s="23">
        <v>575.01</v>
      </c>
      <c r="E111" s="23">
        <v>674.99</v>
      </c>
      <c r="F111" s="23">
        <v>850.02</v>
      </c>
    </row>
    <row r="112" spans="1:6" hidden="1" x14ac:dyDescent="0.25">
      <c r="A112" s="22" t="s">
        <v>133</v>
      </c>
      <c r="B112" s="23">
        <v>245.51</v>
      </c>
      <c r="C112" s="23">
        <v>369.35</v>
      </c>
      <c r="D112" s="23">
        <v>449.99</v>
      </c>
      <c r="E112" s="23">
        <v>550.02</v>
      </c>
      <c r="F112" s="23">
        <v>705.01</v>
      </c>
    </row>
    <row r="113" spans="1:6" hidden="1" x14ac:dyDescent="0.25">
      <c r="A113" s="22" t="s">
        <v>134</v>
      </c>
      <c r="B113" s="23">
        <v>305.25</v>
      </c>
      <c r="C113" s="23">
        <v>420.01</v>
      </c>
      <c r="D113" s="23">
        <v>524.99</v>
      </c>
      <c r="E113" s="23">
        <v>599.99</v>
      </c>
      <c r="F113" s="23">
        <v>700.02</v>
      </c>
    </row>
    <row r="114" spans="1:6" hidden="1" x14ac:dyDescent="0.25">
      <c r="A114" s="22" t="s">
        <v>135</v>
      </c>
      <c r="B114" s="23">
        <v>287.48</v>
      </c>
      <c r="C114" s="23">
        <v>524.99</v>
      </c>
      <c r="D114" s="23">
        <v>594.99</v>
      </c>
      <c r="E114" s="23">
        <v>700.02</v>
      </c>
      <c r="F114" s="23">
        <v>899.99</v>
      </c>
    </row>
    <row r="115" spans="1:6" hidden="1" x14ac:dyDescent="0.25">
      <c r="A115" s="22" t="s">
        <v>136</v>
      </c>
      <c r="B115" s="23">
        <v>338.93</v>
      </c>
      <c r="C115" s="23">
        <v>449.99</v>
      </c>
      <c r="D115" s="23">
        <v>565.01</v>
      </c>
      <c r="E115" s="23">
        <v>674.99</v>
      </c>
      <c r="F115" s="23">
        <v>894.99</v>
      </c>
    </row>
    <row r="116" spans="1:6" hidden="1" x14ac:dyDescent="0.25">
      <c r="A116" s="22" t="s">
        <v>137</v>
      </c>
      <c r="B116" s="23">
        <v>287.87</v>
      </c>
      <c r="C116" s="23">
        <v>425.01</v>
      </c>
      <c r="D116" s="23">
        <v>510</v>
      </c>
      <c r="E116" s="23">
        <v>575.01</v>
      </c>
      <c r="F116" s="23">
        <v>749.99</v>
      </c>
    </row>
    <row r="117" spans="1:6" hidden="1" x14ac:dyDescent="0.25">
      <c r="A117" s="22" t="s">
        <v>138</v>
      </c>
      <c r="B117" s="23">
        <v>288.95999999999998</v>
      </c>
      <c r="C117" s="23">
        <v>435</v>
      </c>
      <c r="D117" s="23">
        <v>575.01</v>
      </c>
      <c r="E117" s="23">
        <v>650</v>
      </c>
      <c r="F117" s="23">
        <v>749.99</v>
      </c>
    </row>
    <row r="118" spans="1:6" hidden="1" x14ac:dyDescent="0.25">
      <c r="A118" s="22" t="s">
        <v>139</v>
      </c>
      <c r="B118" s="23">
        <v>354.14</v>
      </c>
      <c r="C118" s="23">
        <v>399.76</v>
      </c>
      <c r="D118" s="23">
        <v>505</v>
      </c>
      <c r="E118" s="23">
        <v>550.02</v>
      </c>
      <c r="F118" s="23">
        <v>725</v>
      </c>
    </row>
    <row r="119" spans="1:6" hidden="1" x14ac:dyDescent="0.25">
      <c r="A119" s="22" t="s">
        <v>140</v>
      </c>
      <c r="B119" s="23">
        <v>341.49</v>
      </c>
      <c r="C119" s="23">
        <v>625.02</v>
      </c>
      <c r="D119" s="23">
        <v>775.02</v>
      </c>
      <c r="E119" s="23">
        <v>974.98</v>
      </c>
      <c r="F119" s="23">
        <v>1150.01</v>
      </c>
    </row>
    <row r="120" spans="1:6" hidden="1" x14ac:dyDescent="0.25">
      <c r="A120" s="22" t="s">
        <v>141</v>
      </c>
      <c r="B120" s="23">
        <v>386.07</v>
      </c>
      <c r="C120" s="23">
        <v>650</v>
      </c>
      <c r="D120" s="23">
        <v>814.99</v>
      </c>
      <c r="E120" s="23">
        <v>974.98</v>
      </c>
      <c r="F120" s="23">
        <v>1249.99</v>
      </c>
    </row>
    <row r="121" spans="1:6" hidden="1" x14ac:dyDescent="0.25">
      <c r="A121" s="22" t="s">
        <v>142</v>
      </c>
      <c r="B121" s="23">
        <v>316.51</v>
      </c>
      <c r="C121" s="23">
        <v>594.99</v>
      </c>
      <c r="D121" s="23">
        <v>749.99</v>
      </c>
      <c r="E121" s="23">
        <v>850.02</v>
      </c>
      <c r="F121" s="23">
        <v>1199.98</v>
      </c>
    </row>
    <row r="122" spans="1:6" hidden="1" x14ac:dyDescent="0.25">
      <c r="A122" s="22" t="s">
        <v>143</v>
      </c>
      <c r="B122" s="23">
        <v>325.89</v>
      </c>
      <c r="C122" s="23">
        <v>485.02</v>
      </c>
      <c r="D122" s="23">
        <v>625.02</v>
      </c>
      <c r="E122" s="23">
        <v>780.01</v>
      </c>
      <c r="F122" s="23">
        <v>1000.01</v>
      </c>
    </row>
    <row r="123" spans="1:6" hidden="1" x14ac:dyDescent="0.25">
      <c r="A123" s="22" t="s">
        <v>144</v>
      </c>
      <c r="B123" s="23">
        <v>367.17</v>
      </c>
      <c r="C123" s="23">
        <v>449.99</v>
      </c>
      <c r="D123" s="23">
        <v>594.99</v>
      </c>
      <c r="E123" s="23">
        <v>725</v>
      </c>
      <c r="F123" s="23">
        <v>899.99</v>
      </c>
    </row>
    <row r="124" spans="1:6" hidden="1" x14ac:dyDescent="0.25">
      <c r="A124" s="22" t="s">
        <v>145</v>
      </c>
      <c r="B124" s="23">
        <v>347.62</v>
      </c>
      <c r="C124" s="23">
        <v>519.99</v>
      </c>
      <c r="D124" s="23">
        <v>650</v>
      </c>
      <c r="E124" s="23">
        <v>795</v>
      </c>
      <c r="F124" s="23">
        <v>1049.98</v>
      </c>
    </row>
    <row r="125" spans="1:6" hidden="1" x14ac:dyDescent="0.25">
      <c r="A125" s="22" t="s">
        <v>146</v>
      </c>
      <c r="B125" s="23">
        <v>291.48</v>
      </c>
      <c r="C125" s="23">
        <v>425.01</v>
      </c>
      <c r="D125" s="23">
        <v>550.02</v>
      </c>
      <c r="E125" s="23">
        <v>650</v>
      </c>
      <c r="F125" s="23">
        <v>850.02</v>
      </c>
    </row>
    <row r="126" spans="1:6" hidden="1" x14ac:dyDescent="0.25">
      <c r="A126" s="22" t="s">
        <v>147</v>
      </c>
      <c r="B126" s="23">
        <v>304.17</v>
      </c>
      <c r="C126" s="23">
        <v>650</v>
      </c>
      <c r="D126" s="23">
        <v>824.99</v>
      </c>
      <c r="E126" s="23">
        <v>974.98</v>
      </c>
      <c r="F126" s="23">
        <v>1300.01</v>
      </c>
    </row>
    <row r="127" spans="1:6" hidden="1" x14ac:dyDescent="0.25">
      <c r="A127" s="22" t="s">
        <v>148</v>
      </c>
      <c r="B127" s="23">
        <v>341.49</v>
      </c>
      <c r="C127" s="23">
        <v>674.99</v>
      </c>
      <c r="D127" s="23">
        <v>837.5</v>
      </c>
      <c r="E127" s="23">
        <v>1049.98</v>
      </c>
      <c r="F127" s="23">
        <v>1399.99</v>
      </c>
    </row>
    <row r="128" spans="1:6" hidden="1" x14ac:dyDescent="0.25">
      <c r="A128" s="22" t="s">
        <v>149</v>
      </c>
      <c r="B128" s="23">
        <v>288.95999999999998</v>
      </c>
      <c r="C128" s="23">
        <v>425.01</v>
      </c>
      <c r="D128" s="23">
        <v>500.01</v>
      </c>
      <c r="E128" s="23">
        <v>594.99</v>
      </c>
      <c r="F128" s="23">
        <v>875</v>
      </c>
    </row>
    <row r="129" spans="1:6" hidden="1" x14ac:dyDescent="0.25">
      <c r="A129" s="22" t="s">
        <v>150</v>
      </c>
      <c r="B129" s="23">
        <v>304.17</v>
      </c>
      <c r="C129" s="23">
        <v>425.01</v>
      </c>
      <c r="D129" s="23">
        <v>534.99</v>
      </c>
      <c r="E129" s="23">
        <v>650</v>
      </c>
      <c r="F129" s="23">
        <v>800</v>
      </c>
    </row>
    <row r="130" spans="1:6" hidden="1" x14ac:dyDescent="0.25">
      <c r="A130" s="22" t="s">
        <v>151</v>
      </c>
      <c r="B130" s="23">
        <v>295.48</v>
      </c>
      <c r="C130" s="23">
        <v>350.01</v>
      </c>
      <c r="D130" s="23">
        <v>425.01</v>
      </c>
      <c r="E130" s="23">
        <v>524.99</v>
      </c>
      <c r="F130" s="23">
        <v>674.99</v>
      </c>
    </row>
    <row r="131" spans="1:6" hidden="1" x14ac:dyDescent="0.25">
      <c r="A131" s="22" t="s">
        <v>152</v>
      </c>
      <c r="B131" s="23">
        <v>300</v>
      </c>
      <c r="C131" s="23">
        <v>425.01</v>
      </c>
      <c r="D131" s="23">
        <v>550.02</v>
      </c>
      <c r="E131" s="23">
        <v>650</v>
      </c>
      <c r="F131" s="23">
        <v>795</v>
      </c>
    </row>
    <row r="132" spans="1:6" hidden="1" x14ac:dyDescent="0.25">
      <c r="A132" s="22" t="s">
        <v>153</v>
      </c>
      <c r="B132" s="23">
        <v>288.95999999999998</v>
      </c>
      <c r="C132" s="23">
        <v>350.01</v>
      </c>
      <c r="D132" s="23">
        <v>449.99</v>
      </c>
      <c r="E132" s="23">
        <v>475.02</v>
      </c>
      <c r="F132" s="23">
        <v>674.99</v>
      </c>
    </row>
    <row r="133" spans="1:6" hidden="1" x14ac:dyDescent="0.25">
      <c r="A133" s="22" t="s">
        <v>154</v>
      </c>
      <c r="B133" s="23">
        <v>386.07</v>
      </c>
      <c r="C133" s="23">
        <v>674.99</v>
      </c>
      <c r="D133" s="23">
        <v>850.02</v>
      </c>
      <c r="E133" s="23">
        <v>1049.98</v>
      </c>
      <c r="F133" s="23">
        <v>1300.01</v>
      </c>
    </row>
    <row r="134" spans="1:6" hidden="1" x14ac:dyDescent="0.25">
      <c r="A134" s="22" t="s">
        <v>155</v>
      </c>
      <c r="B134" s="23">
        <v>491.49</v>
      </c>
      <c r="C134" s="23">
        <v>1000.01</v>
      </c>
      <c r="D134" s="23">
        <v>1249.99</v>
      </c>
      <c r="E134" s="23">
        <v>1549.99</v>
      </c>
      <c r="F134" s="23">
        <v>1849.99</v>
      </c>
    </row>
    <row r="135" spans="1:6" hidden="1" x14ac:dyDescent="0.25">
      <c r="A135" s="22" t="s">
        <v>156</v>
      </c>
      <c r="B135" s="23">
        <v>388.9</v>
      </c>
      <c r="C135" s="23">
        <v>550.02</v>
      </c>
      <c r="D135" s="23">
        <v>695.02</v>
      </c>
      <c r="E135" s="23">
        <v>800</v>
      </c>
      <c r="F135" s="23">
        <v>1020</v>
      </c>
    </row>
    <row r="136" spans="1:6" hidden="1" x14ac:dyDescent="0.25">
      <c r="A136" s="22" t="s">
        <v>157</v>
      </c>
      <c r="B136" s="23">
        <v>347.62</v>
      </c>
      <c r="C136" s="23">
        <v>475.02</v>
      </c>
      <c r="D136" s="23">
        <v>599.99</v>
      </c>
      <c r="E136" s="23">
        <v>695.02</v>
      </c>
      <c r="F136" s="23">
        <v>894.99</v>
      </c>
    </row>
    <row r="137" spans="1:6" hidden="1" x14ac:dyDescent="0.25">
      <c r="A137" s="22" t="s">
        <v>158</v>
      </c>
      <c r="B137" s="23">
        <v>321.11</v>
      </c>
      <c r="C137" s="23">
        <v>340.01</v>
      </c>
      <c r="D137" s="23">
        <v>394.98</v>
      </c>
      <c r="E137" s="23">
        <v>475.02</v>
      </c>
      <c r="F137" s="23">
        <v>700.02</v>
      </c>
    </row>
    <row r="138" spans="1:6" hidden="1" x14ac:dyDescent="0.25">
      <c r="A138" s="22" t="s">
        <v>159</v>
      </c>
      <c r="B138" s="23">
        <v>350.01</v>
      </c>
      <c r="C138" s="23">
        <v>469.98</v>
      </c>
      <c r="D138" s="23">
        <v>550.02</v>
      </c>
      <c r="E138" s="23">
        <v>625.02</v>
      </c>
      <c r="F138" s="23">
        <v>800</v>
      </c>
    </row>
    <row r="139" spans="1:6" hidden="1" x14ac:dyDescent="0.25">
      <c r="A139" s="22" t="s">
        <v>160</v>
      </c>
      <c r="B139" s="23">
        <v>288.48</v>
      </c>
      <c r="C139" s="23">
        <v>394.98</v>
      </c>
      <c r="D139" s="23">
        <v>451.25</v>
      </c>
      <c r="E139" s="23">
        <v>550.02</v>
      </c>
      <c r="F139" s="23">
        <v>695.02</v>
      </c>
    </row>
    <row r="140" spans="1:6" hidden="1" x14ac:dyDescent="0.25">
      <c r="A140" s="22" t="s">
        <v>161</v>
      </c>
      <c r="B140" s="23">
        <v>491.49</v>
      </c>
      <c r="C140" s="23">
        <v>1049.98</v>
      </c>
      <c r="D140" s="23">
        <v>1300.01</v>
      </c>
      <c r="E140" s="23">
        <v>1549.99</v>
      </c>
      <c r="F140" s="23">
        <v>1800.01</v>
      </c>
    </row>
    <row r="141" spans="1:6" hidden="1" x14ac:dyDescent="0.25">
      <c r="A141" s="22" t="s">
        <v>162</v>
      </c>
      <c r="B141" s="23">
        <v>441.52</v>
      </c>
      <c r="C141" s="23">
        <v>899.99</v>
      </c>
      <c r="D141" s="23">
        <v>1150.01</v>
      </c>
      <c r="E141" s="23">
        <v>1375.01</v>
      </c>
      <c r="F141" s="23">
        <v>1730.01</v>
      </c>
    </row>
    <row r="142" spans="1:6" hidden="1" x14ac:dyDescent="0.25">
      <c r="A142" s="22" t="s">
        <v>163</v>
      </c>
      <c r="B142" s="23">
        <v>491.49</v>
      </c>
      <c r="C142" s="23">
        <v>1069.97</v>
      </c>
      <c r="D142" s="23">
        <v>1300.01</v>
      </c>
      <c r="E142" s="23">
        <v>1600</v>
      </c>
      <c r="F142" s="23">
        <v>1900</v>
      </c>
    </row>
    <row r="143" spans="1:6" hidden="1" x14ac:dyDescent="0.25">
      <c r="A143" s="22" t="s">
        <v>164</v>
      </c>
      <c r="B143" s="23">
        <v>449.99</v>
      </c>
      <c r="C143" s="23">
        <v>894.99</v>
      </c>
      <c r="D143" s="23">
        <v>1100</v>
      </c>
      <c r="E143" s="23">
        <v>1300.01</v>
      </c>
      <c r="F143" s="23">
        <v>1600</v>
      </c>
    </row>
    <row r="144" spans="1:6" hidden="1" x14ac:dyDescent="0.25">
      <c r="A144" s="22" t="s">
        <v>165</v>
      </c>
      <c r="B144" s="23">
        <v>449.99</v>
      </c>
      <c r="C144" s="23">
        <v>875</v>
      </c>
      <c r="D144" s="23">
        <v>1100</v>
      </c>
      <c r="E144" s="23">
        <v>1375.01</v>
      </c>
      <c r="F144" s="23">
        <v>1735.01</v>
      </c>
    </row>
    <row r="145" spans="1:6" hidden="1" x14ac:dyDescent="0.25">
      <c r="A145" s="22" t="s">
        <v>166</v>
      </c>
      <c r="B145" s="23">
        <v>508</v>
      </c>
      <c r="C145" s="23">
        <v>1049.98</v>
      </c>
      <c r="D145" s="23">
        <v>1324.99</v>
      </c>
      <c r="E145" s="23">
        <v>1600</v>
      </c>
      <c r="F145" s="23">
        <v>2149.98</v>
      </c>
    </row>
    <row r="146" spans="1:6" hidden="1" x14ac:dyDescent="0.25">
      <c r="A146" s="22" t="s">
        <v>167</v>
      </c>
      <c r="B146" s="23">
        <v>500.01</v>
      </c>
      <c r="C146" s="23">
        <v>925.01</v>
      </c>
      <c r="D146" s="23">
        <v>1175</v>
      </c>
      <c r="E146" s="23">
        <v>1399.99</v>
      </c>
      <c r="F146" s="23">
        <v>1650.02</v>
      </c>
    </row>
    <row r="147" spans="1:6" hidden="1" x14ac:dyDescent="0.25">
      <c r="A147" s="22" t="s">
        <v>168</v>
      </c>
      <c r="B147" s="23">
        <v>516.52</v>
      </c>
      <c r="C147" s="23">
        <v>775.02</v>
      </c>
      <c r="D147" s="23">
        <v>912.5</v>
      </c>
      <c r="E147" s="23">
        <v>1100</v>
      </c>
      <c r="F147" s="23">
        <v>1585.01</v>
      </c>
    </row>
    <row r="148" spans="1:6" hidden="1" x14ac:dyDescent="0.25">
      <c r="A148" s="22" t="s">
        <v>169</v>
      </c>
      <c r="B148" s="23">
        <v>304.99</v>
      </c>
      <c r="C148" s="23">
        <v>424.51</v>
      </c>
      <c r="D148" s="23">
        <v>524.99</v>
      </c>
      <c r="E148" s="23">
        <v>625.02</v>
      </c>
      <c r="F148" s="23">
        <v>749.99</v>
      </c>
    </row>
    <row r="149" spans="1:6" hidden="1" x14ac:dyDescent="0.25">
      <c r="A149" s="22" t="s">
        <v>170</v>
      </c>
      <c r="B149" s="23">
        <v>285</v>
      </c>
      <c r="C149" s="23">
        <v>480.02</v>
      </c>
      <c r="D149" s="23">
        <v>594.99</v>
      </c>
      <c r="E149" s="23">
        <v>695.02</v>
      </c>
      <c r="F149" s="23">
        <v>899.99</v>
      </c>
    </row>
    <row r="150" spans="1:6" hidden="1" x14ac:dyDescent="0.25">
      <c r="A150" s="22" t="s">
        <v>171</v>
      </c>
      <c r="B150" s="23">
        <v>319.38</v>
      </c>
      <c r="C150" s="23">
        <v>449.99</v>
      </c>
      <c r="D150" s="23">
        <v>585</v>
      </c>
      <c r="E150" s="23">
        <v>695.02</v>
      </c>
      <c r="F150" s="23">
        <v>850.02</v>
      </c>
    </row>
    <row r="151" spans="1:6" hidden="1" x14ac:dyDescent="0.25">
      <c r="A151" s="22" t="s">
        <v>172</v>
      </c>
      <c r="B151" s="23">
        <v>342.45</v>
      </c>
      <c r="C151" s="23">
        <v>585</v>
      </c>
      <c r="D151" s="23">
        <v>725</v>
      </c>
      <c r="E151" s="23">
        <v>875</v>
      </c>
      <c r="F151" s="23">
        <v>1199.98</v>
      </c>
    </row>
    <row r="152" spans="1:6" hidden="1" x14ac:dyDescent="0.25">
      <c r="A152" s="22" t="s">
        <v>173</v>
      </c>
      <c r="B152" s="23">
        <v>389.99</v>
      </c>
      <c r="C152" s="23">
        <v>795</v>
      </c>
      <c r="D152" s="23">
        <v>950</v>
      </c>
      <c r="E152" s="23">
        <v>1150.01</v>
      </c>
      <c r="F152" s="23">
        <v>1549.99</v>
      </c>
    </row>
    <row r="153" spans="1:6" hidden="1" x14ac:dyDescent="0.25">
      <c r="A153" s="22" t="s">
        <v>174</v>
      </c>
      <c r="B153" s="23">
        <v>325.89</v>
      </c>
      <c r="C153" s="23">
        <v>399.98</v>
      </c>
      <c r="D153" s="23">
        <v>500.01</v>
      </c>
      <c r="E153" s="23">
        <v>594.99</v>
      </c>
      <c r="F153" s="23">
        <v>749.99</v>
      </c>
    </row>
    <row r="154" spans="1:6" hidden="1" x14ac:dyDescent="0.25">
      <c r="A154" s="22" t="s">
        <v>175</v>
      </c>
      <c r="B154" s="23">
        <v>267.23</v>
      </c>
      <c r="C154" s="23">
        <v>374.99</v>
      </c>
      <c r="D154" s="23">
        <v>425.01</v>
      </c>
      <c r="E154" s="23">
        <v>480.02</v>
      </c>
      <c r="F154" s="23">
        <v>684.98</v>
      </c>
    </row>
    <row r="155" spans="1:6" hidden="1" x14ac:dyDescent="0.25">
      <c r="A155" s="22" t="s">
        <v>176</v>
      </c>
      <c r="B155" s="23">
        <v>366.52</v>
      </c>
      <c r="C155" s="23">
        <v>524.99</v>
      </c>
      <c r="D155" s="23">
        <v>640.01</v>
      </c>
      <c r="E155" s="23">
        <v>749.99</v>
      </c>
      <c r="F155" s="23">
        <v>995.02</v>
      </c>
    </row>
    <row r="156" spans="1:6" hidden="1" x14ac:dyDescent="0.25">
      <c r="A156" s="22" t="s">
        <v>177</v>
      </c>
      <c r="B156" s="23">
        <v>361.09</v>
      </c>
      <c r="C156" s="23">
        <v>575.01</v>
      </c>
      <c r="D156" s="23">
        <v>725</v>
      </c>
      <c r="E156" s="23">
        <v>850.02</v>
      </c>
      <c r="F156" s="23">
        <v>1100</v>
      </c>
    </row>
    <row r="157" spans="1:6" hidden="1" x14ac:dyDescent="0.25">
      <c r="A157" s="22" t="s">
        <v>178</v>
      </c>
      <c r="B157" s="23">
        <v>284.61</v>
      </c>
      <c r="C157" s="23">
        <v>374.99</v>
      </c>
      <c r="D157" s="23">
        <v>485.02</v>
      </c>
      <c r="E157" s="23">
        <v>560.01</v>
      </c>
      <c r="F157" s="23">
        <v>650</v>
      </c>
    </row>
    <row r="158" spans="1:6" hidden="1" x14ac:dyDescent="0.25">
      <c r="A158" s="22" t="s">
        <v>179</v>
      </c>
      <c r="B158" s="23">
        <v>243.33</v>
      </c>
      <c r="C158" s="23">
        <v>324.98</v>
      </c>
      <c r="D158" s="23">
        <v>449.99</v>
      </c>
      <c r="E158" s="23">
        <v>485.02</v>
      </c>
      <c r="F158" s="23">
        <v>594.99</v>
      </c>
    </row>
    <row r="159" spans="1:6" hidden="1" x14ac:dyDescent="0.25">
      <c r="A159" s="22" t="s">
        <v>180</v>
      </c>
      <c r="B159" s="23">
        <v>285</v>
      </c>
      <c r="C159" s="23">
        <v>475.02</v>
      </c>
      <c r="D159" s="23">
        <v>524.99</v>
      </c>
      <c r="E159" s="23">
        <v>575.01</v>
      </c>
      <c r="F159" s="23">
        <v>814.99</v>
      </c>
    </row>
    <row r="160" spans="1:6" hidden="1" x14ac:dyDescent="0.25">
      <c r="A160" s="22" t="s">
        <v>181</v>
      </c>
      <c r="B160" s="23">
        <v>325.89</v>
      </c>
      <c r="C160" s="23">
        <v>399.98</v>
      </c>
      <c r="D160" s="23">
        <v>524.99</v>
      </c>
      <c r="E160" s="23">
        <v>625.02</v>
      </c>
      <c r="F160" s="23">
        <v>795</v>
      </c>
    </row>
    <row r="161" spans="1:6" hidden="1" x14ac:dyDescent="0.25">
      <c r="A161" s="22" t="s">
        <v>182</v>
      </c>
      <c r="B161" s="23">
        <v>371.52</v>
      </c>
      <c r="C161" s="23">
        <v>575.01</v>
      </c>
      <c r="D161" s="23">
        <v>725</v>
      </c>
      <c r="E161" s="23">
        <v>875</v>
      </c>
      <c r="F161" s="23">
        <v>1199.98</v>
      </c>
    </row>
    <row r="162" spans="1:6" hidden="1" x14ac:dyDescent="0.25">
      <c r="A162" s="22" t="s">
        <v>183</v>
      </c>
      <c r="B162" s="23">
        <v>260.70999999999998</v>
      </c>
      <c r="C162" s="23">
        <v>394.98</v>
      </c>
      <c r="D162" s="23">
        <v>495.01</v>
      </c>
      <c r="E162" s="23">
        <v>594.99</v>
      </c>
      <c r="F162" s="23">
        <v>824.99</v>
      </c>
    </row>
    <row r="163" spans="1:6" hidden="1" x14ac:dyDescent="0.25">
      <c r="A163" s="22" t="s">
        <v>184</v>
      </c>
      <c r="B163" s="23">
        <v>282.44</v>
      </c>
      <c r="C163" s="23">
        <v>449.99</v>
      </c>
      <c r="D163" s="23">
        <v>599.99</v>
      </c>
      <c r="E163" s="23">
        <v>730</v>
      </c>
      <c r="F163" s="23">
        <v>899.99</v>
      </c>
    </row>
    <row r="164" spans="1:6" hidden="1" x14ac:dyDescent="0.25">
      <c r="A164" s="22" t="s">
        <v>185</v>
      </c>
      <c r="B164" s="23">
        <v>356.48</v>
      </c>
      <c r="C164" s="23">
        <v>749.99</v>
      </c>
      <c r="D164" s="23">
        <v>925.01</v>
      </c>
      <c r="E164" s="23">
        <v>1199.98</v>
      </c>
      <c r="F164" s="23">
        <v>1399.99</v>
      </c>
    </row>
    <row r="165" spans="1:6" hidden="1" x14ac:dyDescent="0.25">
      <c r="A165" s="22" t="s">
        <v>186</v>
      </c>
      <c r="B165" s="23">
        <v>333.02</v>
      </c>
      <c r="C165" s="23">
        <v>700.02</v>
      </c>
      <c r="D165" s="23">
        <v>875</v>
      </c>
      <c r="E165" s="23">
        <v>1075.01</v>
      </c>
      <c r="F165" s="23">
        <v>1332.49</v>
      </c>
    </row>
    <row r="166" spans="1:6" hidden="1" x14ac:dyDescent="0.25">
      <c r="A166" s="22" t="s">
        <v>187</v>
      </c>
      <c r="B166" s="23">
        <v>416.49</v>
      </c>
      <c r="C166" s="23">
        <v>800</v>
      </c>
      <c r="D166" s="23">
        <v>1000.01</v>
      </c>
      <c r="E166" s="23">
        <v>1300.01</v>
      </c>
      <c r="F166" s="23">
        <v>1699.99</v>
      </c>
    </row>
    <row r="167" spans="1:6" hidden="1" x14ac:dyDescent="0.25">
      <c r="A167" s="22" t="s">
        <v>188</v>
      </c>
      <c r="B167" s="23">
        <v>336.5</v>
      </c>
      <c r="C167" s="23">
        <v>594.99</v>
      </c>
      <c r="D167" s="23">
        <v>775.02</v>
      </c>
      <c r="E167" s="23">
        <v>925.01</v>
      </c>
      <c r="F167" s="23">
        <v>1199.98</v>
      </c>
    </row>
    <row r="168" spans="1:6" hidden="1" x14ac:dyDescent="0.25">
      <c r="A168" s="22" t="s">
        <v>189</v>
      </c>
      <c r="B168" s="23">
        <v>321.5</v>
      </c>
      <c r="C168" s="23">
        <v>599.99</v>
      </c>
      <c r="D168" s="23">
        <v>795</v>
      </c>
      <c r="E168" s="23">
        <v>1000.01</v>
      </c>
      <c r="F168" s="23">
        <v>1300.01</v>
      </c>
    </row>
    <row r="169" spans="1:6" hidden="1" x14ac:dyDescent="0.25">
      <c r="A169" s="22" t="s">
        <v>190</v>
      </c>
      <c r="B169" s="23">
        <v>359.83</v>
      </c>
      <c r="C169" s="23">
        <v>524.99</v>
      </c>
      <c r="D169" s="23">
        <v>650</v>
      </c>
      <c r="E169" s="23">
        <v>749.99</v>
      </c>
      <c r="F169" s="23">
        <v>1100</v>
      </c>
    </row>
    <row r="170" spans="1:6" hidden="1" x14ac:dyDescent="0.25">
      <c r="A170" s="22" t="s">
        <v>191</v>
      </c>
      <c r="B170" s="23">
        <v>332.41</v>
      </c>
      <c r="C170" s="23">
        <v>408.45</v>
      </c>
      <c r="D170" s="23">
        <v>539.98</v>
      </c>
      <c r="E170" s="23">
        <v>665</v>
      </c>
      <c r="F170" s="23">
        <v>824.99</v>
      </c>
    </row>
    <row r="171" spans="1:6" hidden="1" x14ac:dyDescent="0.25">
      <c r="A171" s="22" t="s">
        <v>192</v>
      </c>
      <c r="B171" s="23">
        <v>282.44</v>
      </c>
      <c r="C171" s="23">
        <v>374.99</v>
      </c>
      <c r="D171" s="23">
        <v>440</v>
      </c>
      <c r="E171" s="23">
        <v>550.02</v>
      </c>
      <c r="F171" s="23">
        <v>744.99</v>
      </c>
    </row>
    <row r="172" spans="1:6" hidden="1" x14ac:dyDescent="0.25">
      <c r="A172" s="22" t="s">
        <v>193</v>
      </c>
      <c r="B172" s="23">
        <v>264.83999999999997</v>
      </c>
      <c r="C172" s="23">
        <v>374.99</v>
      </c>
      <c r="D172" s="23">
        <v>425.01</v>
      </c>
      <c r="E172" s="23">
        <v>550.02</v>
      </c>
      <c r="F172" s="23">
        <v>744.99</v>
      </c>
    </row>
    <row r="173" spans="1:6" hidden="1" x14ac:dyDescent="0.25">
      <c r="A173" s="22" t="s">
        <v>194</v>
      </c>
      <c r="B173" s="23">
        <v>341.49</v>
      </c>
      <c r="C173" s="23">
        <v>674.99</v>
      </c>
      <c r="D173" s="23">
        <v>850.02</v>
      </c>
      <c r="E173" s="23">
        <v>1049.98</v>
      </c>
      <c r="F173" s="23">
        <v>1300.01</v>
      </c>
    </row>
    <row r="174" spans="1:6" hidden="1" x14ac:dyDescent="0.25">
      <c r="A174" s="22" t="s">
        <v>195</v>
      </c>
      <c r="B174" s="23">
        <v>275.92</v>
      </c>
      <c r="C174" s="23">
        <v>389.99</v>
      </c>
      <c r="D174" s="23">
        <v>434.52</v>
      </c>
      <c r="E174" s="23">
        <v>495.01</v>
      </c>
      <c r="F174" s="23">
        <v>643.88</v>
      </c>
    </row>
    <row r="175" spans="1:6" hidden="1" x14ac:dyDescent="0.25">
      <c r="A175" s="22" t="s">
        <v>196</v>
      </c>
      <c r="B175" s="23">
        <v>324.98</v>
      </c>
      <c r="C175" s="23">
        <v>500.01</v>
      </c>
      <c r="D175" s="23">
        <v>650</v>
      </c>
      <c r="E175" s="23">
        <v>850.02</v>
      </c>
      <c r="F175" s="23">
        <v>1000.01</v>
      </c>
    </row>
    <row r="176" spans="1:6" hidden="1" x14ac:dyDescent="0.25">
      <c r="A176" s="22" t="s">
        <v>197</v>
      </c>
      <c r="B176" s="23">
        <v>341.49</v>
      </c>
      <c r="C176" s="23">
        <v>550.02</v>
      </c>
      <c r="D176" s="23">
        <v>660</v>
      </c>
      <c r="E176" s="23">
        <v>795</v>
      </c>
      <c r="F176" s="23">
        <v>1000.01</v>
      </c>
    </row>
    <row r="177" spans="1:6" hidden="1" x14ac:dyDescent="0.25">
      <c r="A177" s="22" t="s">
        <v>198</v>
      </c>
      <c r="B177" s="23">
        <v>286.08999999999997</v>
      </c>
      <c r="C177" s="23">
        <v>399.98</v>
      </c>
      <c r="D177" s="23">
        <v>495.01</v>
      </c>
      <c r="E177" s="23">
        <v>594.99</v>
      </c>
      <c r="F177" s="23">
        <v>749.99</v>
      </c>
    </row>
    <row r="178" spans="1:6" hidden="1" x14ac:dyDescent="0.25">
      <c r="A178" s="22" t="s">
        <v>199</v>
      </c>
      <c r="B178" s="23">
        <v>367.17</v>
      </c>
      <c r="C178" s="23">
        <v>449.99</v>
      </c>
      <c r="D178" s="23">
        <v>594.99</v>
      </c>
      <c r="E178" s="23">
        <v>715.01</v>
      </c>
      <c r="F178" s="23">
        <v>899.99</v>
      </c>
    </row>
    <row r="179" spans="1:6" hidden="1" x14ac:dyDescent="0.25">
      <c r="A179" s="22" t="s">
        <v>200</v>
      </c>
      <c r="B179" s="23">
        <v>282.44</v>
      </c>
      <c r="C179" s="23">
        <v>374.99</v>
      </c>
      <c r="D179" s="23">
        <v>433</v>
      </c>
      <c r="E179" s="23">
        <v>499.7</v>
      </c>
      <c r="F179" s="23">
        <v>674.99</v>
      </c>
    </row>
    <row r="180" spans="1:6" hidden="1" x14ac:dyDescent="0.25">
      <c r="A180" s="22" t="s">
        <v>201</v>
      </c>
      <c r="B180" s="23">
        <v>300</v>
      </c>
      <c r="C180" s="23">
        <v>475.02</v>
      </c>
      <c r="D180" s="23">
        <v>650</v>
      </c>
      <c r="E180" s="23">
        <v>800</v>
      </c>
      <c r="F180" s="23">
        <v>950</v>
      </c>
    </row>
    <row r="181" spans="1:6" hidden="1" x14ac:dyDescent="0.25">
      <c r="A181" s="22" t="s">
        <v>202</v>
      </c>
      <c r="B181" s="23">
        <v>304.99</v>
      </c>
      <c r="C181" s="23">
        <v>425.01</v>
      </c>
      <c r="D181" s="23">
        <v>475.02</v>
      </c>
      <c r="E181" s="23">
        <v>550.02</v>
      </c>
      <c r="F181" s="23">
        <v>795</v>
      </c>
    </row>
    <row r="182" spans="1:6" hidden="1" x14ac:dyDescent="0.25">
      <c r="A182" s="22" t="s">
        <v>203</v>
      </c>
      <c r="B182" s="23">
        <v>267.23</v>
      </c>
      <c r="C182" s="23">
        <v>394.98</v>
      </c>
      <c r="D182" s="23">
        <v>475.02</v>
      </c>
      <c r="E182" s="23">
        <v>524.99</v>
      </c>
      <c r="F182" s="23">
        <v>749.99</v>
      </c>
    </row>
    <row r="183" spans="1:6" hidden="1" x14ac:dyDescent="0.25">
      <c r="A183" s="22" t="s">
        <v>204</v>
      </c>
      <c r="B183" s="23">
        <v>476.72</v>
      </c>
      <c r="C183" s="23">
        <v>850.02</v>
      </c>
      <c r="D183" s="23">
        <v>1100</v>
      </c>
      <c r="E183" s="23">
        <v>1349.98</v>
      </c>
      <c r="F183" s="23">
        <v>1769.99</v>
      </c>
    </row>
    <row r="184" spans="1:6" hidden="1" x14ac:dyDescent="0.25">
      <c r="A184" s="22" t="s">
        <v>205</v>
      </c>
      <c r="B184" s="23">
        <v>371.52</v>
      </c>
      <c r="C184" s="23">
        <v>625.02</v>
      </c>
      <c r="D184" s="23">
        <v>749.99</v>
      </c>
      <c r="E184" s="23">
        <v>899.99</v>
      </c>
      <c r="F184" s="23">
        <v>1199.98</v>
      </c>
    </row>
    <row r="185" spans="1:6" hidden="1" x14ac:dyDescent="0.25">
      <c r="A185" s="22" t="s">
        <v>206</v>
      </c>
      <c r="B185" s="23">
        <v>318.29000000000002</v>
      </c>
      <c r="C185" s="23">
        <v>449.99</v>
      </c>
      <c r="D185" s="23">
        <v>550.02</v>
      </c>
      <c r="E185" s="23">
        <v>650</v>
      </c>
      <c r="F185" s="23">
        <v>894.99</v>
      </c>
    </row>
    <row r="186" spans="1:6" hidden="1" x14ac:dyDescent="0.25">
      <c r="A186" s="22" t="s">
        <v>207</v>
      </c>
      <c r="B186" s="23">
        <v>295.48</v>
      </c>
      <c r="C186" s="23">
        <v>350.01</v>
      </c>
      <c r="D186" s="23">
        <v>420.01</v>
      </c>
      <c r="E186" s="23">
        <v>495.01</v>
      </c>
      <c r="F186" s="23">
        <v>599.99</v>
      </c>
    </row>
    <row r="187" spans="1:6" hidden="1" x14ac:dyDescent="0.25">
      <c r="A187" s="22" t="s">
        <v>208</v>
      </c>
      <c r="B187" s="23">
        <v>303.33999999999997</v>
      </c>
      <c r="C187" s="23">
        <v>350.01</v>
      </c>
      <c r="D187" s="23">
        <v>389.99</v>
      </c>
      <c r="E187" s="23">
        <v>449.99</v>
      </c>
      <c r="F187" s="23">
        <v>650</v>
      </c>
    </row>
    <row r="188" spans="1:6" hidden="1" x14ac:dyDescent="0.25">
      <c r="A188" s="22" t="s">
        <v>209</v>
      </c>
      <c r="B188" s="23">
        <v>341.49</v>
      </c>
      <c r="C188" s="23">
        <v>519.99</v>
      </c>
      <c r="D188" s="23">
        <v>650</v>
      </c>
      <c r="E188" s="23">
        <v>795</v>
      </c>
      <c r="F188" s="23">
        <v>1000.01</v>
      </c>
    </row>
    <row r="189" spans="1:6" hidden="1" x14ac:dyDescent="0.25">
      <c r="A189" s="22" t="s">
        <v>210</v>
      </c>
      <c r="B189" s="23">
        <v>430.42</v>
      </c>
      <c r="C189" s="23">
        <v>475.02</v>
      </c>
      <c r="D189" s="23">
        <v>599.99</v>
      </c>
      <c r="E189" s="23">
        <v>749.99</v>
      </c>
      <c r="F189" s="23">
        <v>925.01</v>
      </c>
    </row>
    <row r="190" spans="1:6" hidden="1" x14ac:dyDescent="0.25">
      <c r="A190" s="22" t="s">
        <v>211</v>
      </c>
      <c r="B190" s="23">
        <v>266.49</v>
      </c>
      <c r="C190" s="23">
        <v>350.01</v>
      </c>
      <c r="D190" s="23">
        <v>449.99</v>
      </c>
      <c r="E190" s="23">
        <v>499.01</v>
      </c>
      <c r="F190" s="23">
        <v>674.99</v>
      </c>
    </row>
    <row r="191" spans="1:6" hidden="1" x14ac:dyDescent="0.25">
      <c r="A191" s="22" t="s">
        <v>212</v>
      </c>
      <c r="B191" s="23">
        <v>362.83</v>
      </c>
      <c r="C191" s="23">
        <v>725</v>
      </c>
      <c r="D191" s="23">
        <v>860.01</v>
      </c>
      <c r="E191" s="23">
        <v>1100</v>
      </c>
      <c r="F191" s="23">
        <v>1600</v>
      </c>
    </row>
    <row r="192" spans="1:6" hidden="1" x14ac:dyDescent="0.25">
      <c r="A192" s="22" t="s">
        <v>213</v>
      </c>
      <c r="B192" s="23">
        <v>239.08</v>
      </c>
      <c r="C192" s="23">
        <v>374.99</v>
      </c>
      <c r="D192" s="23">
        <v>449.99</v>
      </c>
      <c r="E192" s="23">
        <v>550.02</v>
      </c>
      <c r="F192" s="23">
        <v>725</v>
      </c>
    </row>
    <row r="193" spans="1:6" hidden="1" x14ac:dyDescent="0.25">
      <c r="A193" s="22" t="s">
        <v>214</v>
      </c>
      <c r="B193" s="23">
        <v>301.45</v>
      </c>
      <c r="C193" s="23">
        <v>360</v>
      </c>
      <c r="D193" s="23">
        <v>452.49</v>
      </c>
      <c r="E193" s="23">
        <v>529.99</v>
      </c>
      <c r="F193" s="23">
        <v>599.99</v>
      </c>
    </row>
    <row r="194" spans="1:6" hidden="1" x14ac:dyDescent="0.25">
      <c r="A194" s="22" t="s">
        <v>215</v>
      </c>
      <c r="B194" s="23">
        <v>288.95999999999998</v>
      </c>
      <c r="C194" s="23">
        <v>440</v>
      </c>
      <c r="D194" s="23">
        <v>550.61</v>
      </c>
      <c r="E194" s="23">
        <v>650</v>
      </c>
      <c r="F194" s="23">
        <v>850.02</v>
      </c>
    </row>
    <row r="195" spans="1:6" hidden="1" x14ac:dyDescent="0.25">
      <c r="A195" s="22" t="s">
        <v>216</v>
      </c>
      <c r="B195" s="23">
        <v>366.17</v>
      </c>
      <c r="C195" s="23">
        <v>500.01</v>
      </c>
      <c r="D195" s="23">
        <v>625.02</v>
      </c>
      <c r="E195" s="23">
        <v>749.99</v>
      </c>
      <c r="F195" s="23">
        <v>950</v>
      </c>
    </row>
    <row r="196" spans="1:6" hidden="1" x14ac:dyDescent="0.25">
      <c r="A196" s="22" t="s">
        <v>217</v>
      </c>
      <c r="B196" s="23">
        <v>310.68</v>
      </c>
      <c r="C196" s="23">
        <v>625.02</v>
      </c>
      <c r="D196" s="23">
        <v>800</v>
      </c>
      <c r="E196" s="23">
        <v>969.99</v>
      </c>
      <c r="F196" s="23">
        <v>1249.99</v>
      </c>
    </row>
    <row r="197" spans="1:6" hidden="1" x14ac:dyDescent="0.25">
      <c r="A197" s="22" t="s">
        <v>218</v>
      </c>
      <c r="B197" s="23">
        <v>334.58</v>
      </c>
      <c r="C197" s="23">
        <v>440</v>
      </c>
      <c r="D197" s="23">
        <v>575.01</v>
      </c>
      <c r="E197" s="23">
        <v>725</v>
      </c>
      <c r="F197" s="23">
        <v>925.01</v>
      </c>
    </row>
    <row r="198" spans="1:6" hidden="1" x14ac:dyDescent="0.25">
      <c r="A198" s="22" t="s">
        <v>219</v>
      </c>
      <c r="B198" s="23">
        <v>325.89</v>
      </c>
      <c r="C198" s="23">
        <v>544.98</v>
      </c>
      <c r="D198" s="23">
        <v>650</v>
      </c>
      <c r="E198" s="23">
        <v>725</v>
      </c>
      <c r="F198" s="23">
        <v>1049.98</v>
      </c>
    </row>
  </sheetData>
  <sheetProtection algorithmName="SHA-512" hashValue="0GPXyteOZzhpAHhpq8Uzexp8z+L6igvf9PP0wt5jzdtP5MsXSC1vJQ813fdoFqmgGnUDQ+QdHPyn858AY2sX7w==" saltValue="e4lpJVquqxZvPegSAE9HCw==" spinCount="100000" sheet="1" objects="1" scenarios="1"/>
  <mergeCells count="48">
    <mergeCell ref="F41:G41"/>
    <mergeCell ref="J12:K12"/>
    <mergeCell ref="I37:J37"/>
    <mergeCell ref="I41:J41"/>
    <mergeCell ref="F37:G37"/>
    <mergeCell ref="D12:F12"/>
    <mergeCell ref="C21:D21"/>
    <mergeCell ref="C22:D22"/>
    <mergeCell ref="C23:D23"/>
    <mergeCell ref="C16:D16"/>
    <mergeCell ref="C17:D17"/>
    <mergeCell ref="C18:D18"/>
    <mergeCell ref="C19:D19"/>
    <mergeCell ref="C20:D20"/>
    <mergeCell ref="M29:O29"/>
    <mergeCell ref="N36:O36"/>
    <mergeCell ref="M33:N33"/>
    <mergeCell ref="B35:C35"/>
    <mergeCell ref="B36:C36"/>
    <mergeCell ref="D7:F7"/>
    <mergeCell ref="D8:F8"/>
    <mergeCell ref="D11:F11"/>
    <mergeCell ref="F15:H15"/>
    <mergeCell ref="D9:F9"/>
    <mergeCell ref="D10:F10"/>
    <mergeCell ref="C15:D15"/>
    <mergeCell ref="I1:J1"/>
    <mergeCell ref="I2:J2"/>
    <mergeCell ref="I3:J3"/>
    <mergeCell ref="I4:J4"/>
    <mergeCell ref="I5:J5"/>
    <mergeCell ref="D6:F6"/>
    <mergeCell ref="D1:F1"/>
    <mergeCell ref="D2:F2"/>
    <mergeCell ref="D3:F3"/>
    <mergeCell ref="D4:F4"/>
    <mergeCell ref="D5:F5"/>
    <mergeCell ref="I50:J50"/>
    <mergeCell ref="I46:J46"/>
    <mergeCell ref="I59:J59"/>
    <mergeCell ref="I65:J65"/>
    <mergeCell ref="I6:J6"/>
    <mergeCell ref="I10:J10"/>
    <mergeCell ref="I7:J7"/>
    <mergeCell ref="I8:J8"/>
    <mergeCell ref="I9:J9"/>
    <mergeCell ref="I51:J51"/>
    <mergeCell ref="I11:J11"/>
  </mergeCells>
  <dataValidations count="14">
    <dataValidation type="list" allowBlank="1" showInputMessage="1" showErrorMessage="1" sqref="B1" xr:uid="{00000000-0002-0000-0000-000000000000}">
      <formula1>"Single,Couple"</formula1>
    </dataValidation>
    <dataValidation type="list" allowBlank="1" showInputMessage="1" showErrorMessage="1" sqref="B2 G11 K1:K7 B12 K10:K11" xr:uid="{00000000-0002-0000-0000-000001000000}">
      <formula1>"Yes,No"</formula1>
    </dataValidation>
    <dataValidation type="whole" allowBlank="1" showInputMessage="1" showErrorMessage="1" sqref="B8 G1:G2 B3:B4" xr:uid="{00000000-0002-0000-0000-000002000000}">
      <formula1>0</formula1>
      <formula2>20</formula2>
    </dataValidation>
    <dataValidation type="list" allowBlank="1" showInputMessage="1" showErrorMessage="1" sqref="B6" xr:uid="{00000000-0002-0000-0000-000003000000}">
      <formula1>"Shared,1 bed,2 bed,3 bed,4 bed"</formula1>
    </dataValidation>
    <dataValidation type="decimal" allowBlank="1" showInputMessage="1" showErrorMessage="1" sqref="B9" xr:uid="{00000000-0002-0000-0000-000004000000}">
      <formula1>0</formula1>
      <formula2>2000</formula2>
    </dataValidation>
    <dataValidation type="list" allowBlank="1" showInputMessage="1" showErrorMessage="1" sqref="G4" xr:uid="{00000000-0002-0000-0000-000005000000}">
      <formula1>"N/A,Carer,LCW,LCWRA,Carer*2,Carer &amp; LCW,Carer &amp; LCWRA"</formula1>
    </dataValidation>
    <dataValidation type="decimal" allowBlank="1" showInputMessage="1" showErrorMessage="1" sqref="B10:B12 B7 G8:G10" xr:uid="{00000000-0002-0000-0000-000006000000}">
      <formula1>0</formula1>
      <formula2>10000</formula2>
    </dataValidation>
    <dataValidation type="decimal" allowBlank="1" showInputMessage="1" showErrorMessage="1" sqref="G5" xr:uid="{00000000-0002-0000-0000-000007000000}">
      <formula1>0</formula1>
      <formula2>16000</formula2>
    </dataValidation>
    <dataValidation type="decimal" allowBlank="1" showInputMessage="1" showErrorMessage="1" sqref="G7" xr:uid="{00000000-0002-0000-0000-000008000000}">
      <formula1>27</formula1>
      <formula2>151.97</formula2>
    </dataValidation>
    <dataValidation type="decimal" allowBlank="1" showInputMessage="1" showErrorMessage="1" sqref="G6" xr:uid="{00000000-0002-0000-0000-000009000000}">
      <formula1>108</formula1>
      <formula2>10000</formula2>
    </dataValidation>
    <dataValidation type="list" allowBlank="1" showInputMessage="1" showErrorMessage="1" sqref="G3 K8:K9" xr:uid="{00000000-0002-0000-0000-00000A000000}">
      <formula1>"N/A,1,2"</formula1>
    </dataValidation>
    <dataValidation type="list" allowBlank="1" showInputMessage="1" showErrorMessage="1" sqref="G12" xr:uid="{00000000-0002-0000-0000-00000B000000}">
      <formula1>"N/A,SR,ER"</formula1>
    </dataValidation>
    <dataValidation type="list" allowBlank="1" showInputMessage="1" showErrorMessage="1" sqref="J12:K12" xr:uid="{00000000-0002-0000-0000-00000C000000}">
      <formula1>$A$47:$A$198</formula1>
    </dataValidation>
    <dataValidation type="list" allowBlank="1" showInputMessage="1" showErrorMessage="1" sqref="B5" xr:uid="{00000000-0002-0000-0000-00000E000000}">
      <formula1>"LHA,N/A,14%,25%"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UC-Legacy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Hudi Ellinson</cp:lastModifiedBy>
  <dcterms:created xsi:type="dcterms:W3CDTF">2019-06-25T23:29:10Z</dcterms:created>
  <dcterms:modified xsi:type="dcterms:W3CDTF">2023-06-13T10:12:16Z</dcterms:modified>
</cp:coreProperties>
</file>